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10" windowWidth="27795" windowHeight="11610" tabRatio="933"/>
  </bookViews>
  <sheets>
    <sheet name="Смета" sheetId="1" r:id="rId1"/>
    <sheet name="Земляные работы" sheetId="5" state="hidden" r:id="rId2"/>
    <sheet name="Фундаменты" sheetId="4" state="hidden" r:id="rId3"/>
    <sheet name="Полы" sheetId="6" state="hidden" r:id="rId4"/>
    <sheet name="Металлокаркас" sheetId="7" state="hidden" r:id="rId5"/>
    <sheet name="Наружные стены и модули" sheetId="8" state="hidden" r:id="rId6"/>
    <sheet name="Кровля" sheetId="9" state="hidden" r:id="rId7"/>
    <sheet name="Двери" sheetId="10" state="hidden" r:id="rId8"/>
    <sheet name="Окна" sheetId="11" state="hidden" r:id="rId9"/>
    <sheet name="Ворота" sheetId="12" state="hidden" r:id="rId10"/>
    <sheet name="Перегородки" sheetId="13" state="hidden" r:id="rId11"/>
    <sheet name="Отделка" sheetId="14" state="hidden" r:id="rId12"/>
    <sheet name="Лестницы, крыльца" sheetId="15" state="hidden" r:id="rId13"/>
    <sheet name="БУ, отмостка, цоко" sheetId="16" state="hidden" r:id="rId14"/>
    <sheet name="ЭОМ" sheetId="17" state="hidden" r:id="rId15"/>
    <sheet name="ОиВ" sheetId="18" state="hidden" r:id="rId16"/>
    <sheet name="ВиК" sheetId="19" state="hidden" r:id="rId17"/>
    <sheet name="АПС" sheetId="20" state="hidden" r:id="rId18"/>
    <sheet name="СКС" sheetId="23" state="hidden" r:id="rId19"/>
    <sheet name="Оборудование ТХ" sheetId="21" state="hidden" r:id="rId20"/>
    <sheet name="Прочие" sheetId="22" state="hidden" r:id="rId21"/>
  </sheets>
  <definedNames>
    <definedName name="_xlnm._FilterDatabase" localSheetId="0" hidden="1">Смета!$B$12:$F$150</definedName>
    <definedName name="АПС" localSheetId="17">АПС!$A$1:$A$55</definedName>
    <definedName name="апс">АПС!$A$1:$A$55</definedName>
    <definedName name="благоустройство" localSheetId="13">'БУ, отмостка, цоко'!$A$1:$A$56</definedName>
    <definedName name="благоустройство">'БУ, отмостка, цоко'!$A$1:$A$56</definedName>
    <definedName name="ВиК" localSheetId="16">ВиК!$A$2:$A$79</definedName>
    <definedName name="ВиК">ВиК!$A$2:$A$79</definedName>
    <definedName name="ворота" localSheetId="9">Ворота!$A$1:$A$54</definedName>
    <definedName name="ворота">Ворота!$A$1:$A$54</definedName>
    <definedName name="Двери" localSheetId="7">Двери!$A$1:$A$56</definedName>
    <definedName name="двери">Двери!$A$1:$A$56</definedName>
    <definedName name="заголовки" localSheetId="20">Прочие!$A$1:$A$36</definedName>
    <definedName name="земляные" localSheetId="1">'Земляные работы'!$A$1:$A$53</definedName>
    <definedName name="земляные">'Земляные работы'!$A$1:$A$53</definedName>
    <definedName name="кранбалки" localSheetId="19">'Оборудование ТХ'!$A$2:$A$97</definedName>
    <definedName name="кранбалки">'Оборудование ТХ'!$A$2:$A$97</definedName>
    <definedName name="кровля" localSheetId="6">Кровля!$A$1:$A$56</definedName>
    <definedName name="кровля">Кровля!$A$1:$A$56</definedName>
    <definedName name="лестницы">'Лестницы, крыльца'!$A$1:$A$55</definedName>
    <definedName name="лестницыкрыльца" localSheetId="12">'Лестницы, крыльца'!$A$1:$A$55</definedName>
    <definedName name="металлокаркас" localSheetId="4">Металлокаркас!$A$1:$A$56</definedName>
    <definedName name="металлокаркас">Металлокаркас!$A$1:$A$56</definedName>
    <definedName name="наружныестены" localSheetId="5">'Наружные стены и модули'!$A$1:$A$114</definedName>
    <definedName name="наружныестены">'Наружные стены и модули'!$A$1:$A$114</definedName>
    <definedName name="ОиВ" localSheetId="15">ОиВ!$A$2:$A$111</definedName>
    <definedName name="ОиВ">ОиВ!$A$2:$A$111</definedName>
    <definedName name="окна" localSheetId="8">Окна!$A$1:$A$56</definedName>
    <definedName name="окна">Окна!$A$1:$A$56</definedName>
    <definedName name="отделка" localSheetId="11">Отделка!$A$1:$A$66</definedName>
    <definedName name="отделка">Отделка!$A$1:$A$66</definedName>
    <definedName name="пергородка" localSheetId="10">Перегородки!$A$1:$A$56</definedName>
    <definedName name="перегородки" localSheetId="10">Перегородки!$A$1:$A$56</definedName>
    <definedName name="перегородки">Перегородки!$A$1:$A$56</definedName>
    <definedName name="полы" localSheetId="3">Полы!$A$1:$A$56</definedName>
    <definedName name="полы">Полы!$A$1:$A$56</definedName>
    <definedName name="Прайс" localSheetId="17">АПС!$A$1:$C$55</definedName>
    <definedName name="Прайс" localSheetId="13">'БУ, отмостка, цоко'!$A$1:$C$56</definedName>
    <definedName name="Прайс" localSheetId="16">ВиК!$A$2:$C$79</definedName>
    <definedName name="Прайс" localSheetId="9">Ворота!$A$1:$C$54</definedName>
    <definedName name="Прайс" localSheetId="7">Двери!$A$1:$C$56</definedName>
    <definedName name="Прайс" localSheetId="1">'Земляные работы'!$A$1:$C$53</definedName>
    <definedName name="Прайс" localSheetId="6">Кровля!$A$1:$C$56</definedName>
    <definedName name="Прайс" localSheetId="12">'Лестницы, крыльца'!$A$1:$C$55</definedName>
    <definedName name="Прайс" localSheetId="4">Металлокаркас!$A$1:$C$56</definedName>
    <definedName name="Прайс" localSheetId="5">'Наружные стены и модули'!$A$1:$C$114</definedName>
    <definedName name="Прайс" localSheetId="19">'Оборудование ТХ'!$A$2:$C$97</definedName>
    <definedName name="Прайс" localSheetId="15">ОиВ!$A$2:$C$111</definedName>
    <definedName name="Прайс" localSheetId="8">Окна!$A$1:$C$56</definedName>
    <definedName name="Прайс" localSheetId="11">Отделка!$A$1:$C$66</definedName>
    <definedName name="Прайс" localSheetId="10">Перегородки!$A$1:$C$56</definedName>
    <definedName name="Прайс" localSheetId="3">Полы!$A$1:$C$56</definedName>
    <definedName name="Прайс" localSheetId="20">Прочие!$A$1:$C$16</definedName>
    <definedName name="Прайс" localSheetId="0">Смета!#REF!</definedName>
    <definedName name="Прайс" localSheetId="2">Фундаменты!$A$1:$C$54</definedName>
    <definedName name="Прайс" localSheetId="14">ЭОМ!$A$1:$C$118</definedName>
    <definedName name="прайс">#REF!</definedName>
    <definedName name="проект">Прочие!$A$1:$C$36</definedName>
    <definedName name="прочее">Прочие!$A$1:$A$36</definedName>
    <definedName name="прочие">Прочие!$A$1:$A$36</definedName>
    <definedName name="Фундаменты" localSheetId="17">АПС!$A$1:$A$55</definedName>
    <definedName name="Фундаменты" localSheetId="13">'БУ, отмостка, цоко'!$A$1:$A$56</definedName>
    <definedName name="Фундаменты" localSheetId="16">ВиК!$A$2:$A$79</definedName>
    <definedName name="Фундаменты" localSheetId="9">Ворота!$A$1:$A$54</definedName>
    <definedName name="Фундаменты" localSheetId="7">Двери!$A$1:$A$56</definedName>
    <definedName name="Фундаменты" localSheetId="1">'Земляные работы'!$A$1:$A$53</definedName>
    <definedName name="Фундаменты" localSheetId="6">Кровля!$A$1:$A$56</definedName>
    <definedName name="Фундаменты" localSheetId="12">'Лестницы, крыльца'!$A$1:$A$55</definedName>
    <definedName name="Фундаменты" localSheetId="4">Металлокаркас!$A$1:$A$56</definedName>
    <definedName name="Фундаменты" localSheetId="5">'Наружные стены и модули'!$A$1:$A$114</definedName>
    <definedName name="Фундаменты" localSheetId="19">'Оборудование ТХ'!$A$2:$A$97</definedName>
    <definedName name="Фундаменты" localSheetId="15">ОиВ!$A$2:$A$111</definedName>
    <definedName name="Фундаменты" localSheetId="8">Окна!$A$1:$A$56</definedName>
    <definedName name="Фундаменты" localSheetId="11">Отделка!$A$1:$A$66</definedName>
    <definedName name="Фундаменты" localSheetId="10">Перегородки!$A$1:$A$56</definedName>
    <definedName name="Фундаменты" localSheetId="3">Полы!$A$1:$A$56</definedName>
    <definedName name="Фундаменты" localSheetId="20">Прочие!$A$1:$A$16</definedName>
    <definedName name="фундаменты" localSheetId="2">Фундаменты!$A$1:$A$54</definedName>
    <definedName name="Фундаменты" localSheetId="14">ЭОМ!$A$1:$A$118</definedName>
    <definedName name="Фундаменты">Фундаменты!$A$1:$A$54</definedName>
    <definedName name="цены" localSheetId="17">АПС!$A$1:$A$55</definedName>
    <definedName name="цены" localSheetId="13">'БУ, отмостка, цоко'!$A$1:$A$56</definedName>
    <definedName name="цены" localSheetId="16">ВиК!$A$2:$A$79</definedName>
    <definedName name="цены" localSheetId="9">Ворота!$A$1:$A$54</definedName>
    <definedName name="цены" localSheetId="7">Двери!$A$1:$A$56</definedName>
    <definedName name="цены" localSheetId="1">'Земляные работы'!$A$1:$A$53</definedName>
    <definedName name="цены" localSheetId="6">Кровля!$A$1:$A$56</definedName>
    <definedName name="цены" localSheetId="12">'Лестницы, крыльца'!$A$1:$A$55</definedName>
    <definedName name="цены" localSheetId="4">Металлокаркас!$A$1:$A$56</definedName>
    <definedName name="цены" localSheetId="5">'Наружные стены и модули'!$A$1:$A$114</definedName>
    <definedName name="цены" localSheetId="19">'Оборудование ТХ'!$A$2:$A$97</definedName>
    <definedName name="цены" localSheetId="15">ОиВ!$A$2:$A$111</definedName>
    <definedName name="цены" localSheetId="8">Окна!$A$1:$A$56</definedName>
    <definedName name="цены" localSheetId="11">Отделка!$A$1:$A$66</definedName>
    <definedName name="цены" localSheetId="10">Перегородки!$A$1:$A$56</definedName>
    <definedName name="цены" localSheetId="3">Полы!$A$1:$A$56</definedName>
    <definedName name="цены" localSheetId="20">Прочие!$A$1:$A$16</definedName>
    <definedName name="цены" localSheetId="2">Фундаменты!$A$1:$A$54</definedName>
    <definedName name="цены" localSheetId="14">ЭОМ!$A$1:$A$118</definedName>
    <definedName name="цены">#REF!</definedName>
    <definedName name="ЭОМ" localSheetId="14">ЭОМ!$A$1:$A$118</definedName>
    <definedName name="ЭОМ">ЭОМ!$A$1:$A$118</definedName>
  </definedNames>
  <calcPr calcId="145621"/>
</workbook>
</file>

<file path=xl/calcChain.xml><?xml version="1.0" encoding="utf-8"?>
<calcChain xmlns="http://schemas.openxmlformats.org/spreadsheetml/2006/main">
  <c r="D108" i="1" l="1"/>
  <c r="D111" i="1"/>
  <c r="D107" i="1" s="1"/>
  <c r="D105" i="1"/>
  <c r="D104" i="1"/>
  <c r="D106" i="1" s="1"/>
  <c r="E106" i="1"/>
  <c r="E107" i="1"/>
  <c r="E108" i="1"/>
  <c r="C106" i="1"/>
  <c r="C107" i="1"/>
  <c r="C108" i="1"/>
  <c r="E101" i="1"/>
  <c r="C101" i="1"/>
  <c r="A102" i="1"/>
  <c r="D92" i="1"/>
  <c r="D96" i="1" s="1"/>
  <c r="D98" i="1"/>
  <c r="D101" i="1" s="1"/>
  <c r="D99" i="1"/>
  <c r="D100" i="1" s="1"/>
  <c r="E99" i="1"/>
  <c r="E100" i="1"/>
  <c r="C99" i="1"/>
  <c r="C100" i="1"/>
  <c r="E95" i="1"/>
  <c r="E96" i="1"/>
  <c r="E98" i="1"/>
  <c r="F98" i="1" s="1"/>
  <c r="C95" i="1"/>
  <c r="C96" i="1"/>
  <c r="C98" i="1"/>
  <c r="D93" i="1"/>
  <c r="D113" i="1"/>
  <c r="D114" i="1" s="1"/>
  <c r="D60" i="1"/>
  <c r="E142" i="1"/>
  <c r="E144" i="1"/>
  <c r="E140" i="1"/>
  <c r="E138" i="1"/>
  <c r="F108" i="1" l="1"/>
  <c r="F107" i="1"/>
  <c r="F106" i="1"/>
  <c r="D110" i="1"/>
  <c r="F101" i="1"/>
  <c r="F99" i="1"/>
  <c r="F96" i="1"/>
  <c r="D94" i="1"/>
  <c r="D97" i="1"/>
  <c r="F100" i="1"/>
  <c r="D95" i="1"/>
  <c r="F95" i="1" s="1"/>
  <c r="D147" i="1" l="1"/>
  <c r="D123" i="1"/>
  <c r="D127" i="1" s="1"/>
  <c r="D126" i="1"/>
  <c r="D130" i="1" s="1"/>
  <c r="D120" i="1"/>
  <c r="C8" i="15"/>
  <c r="C7" i="15"/>
  <c r="C6" i="15"/>
  <c r="D87" i="1"/>
  <c r="D82" i="1"/>
  <c r="C2" i="12"/>
  <c r="D76" i="1"/>
  <c r="D77" i="1" s="1"/>
  <c r="D73" i="1"/>
  <c r="D65" i="1"/>
  <c r="D67" i="1" s="1"/>
  <c r="E49" i="1"/>
  <c r="C49" i="1"/>
  <c r="E65" i="1"/>
  <c r="E67" i="1"/>
  <c r="C65" i="1"/>
  <c r="C67" i="1"/>
  <c r="C66" i="1"/>
  <c r="D54" i="1"/>
  <c r="D55" i="1"/>
  <c r="D56" i="1"/>
  <c r="D59" i="1"/>
  <c r="E57" i="1"/>
  <c r="E58" i="1"/>
  <c r="F58" i="1" s="1"/>
  <c r="E59" i="1"/>
  <c r="C57" i="1"/>
  <c r="C58" i="1"/>
  <c r="C59" i="1"/>
  <c r="C60" i="1"/>
  <c r="E42" i="1"/>
  <c r="D124" i="1" l="1"/>
  <c r="F67" i="1"/>
  <c r="F65" i="1"/>
  <c r="F57" i="1"/>
  <c r="F59" i="1"/>
  <c r="D125" i="1" l="1"/>
  <c r="D129" i="1" s="1"/>
  <c r="D128" i="1"/>
  <c r="C5" i="1" l="1"/>
  <c r="D137" i="1" l="1"/>
  <c r="D138" i="1" s="1"/>
  <c r="D63" i="1"/>
  <c r="D48" i="1"/>
  <c r="D49" i="1"/>
  <c r="F49" i="1" s="1"/>
  <c r="D45" i="1"/>
  <c r="D42" i="1"/>
  <c r="F42" i="1" s="1"/>
  <c r="D41" i="1"/>
  <c r="D40" i="1"/>
  <c r="D39" i="1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28" i="8"/>
  <c r="C27" i="8"/>
  <c r="C26" i="8"/>
  <c r="C25" i="8"/>
  <c r="C36" i="8"/>
  <c r="C35" i="8"/>
  <c r="C34" i="8"/>
  <c r="C33" i="8"/>
  <c r="C32" i="8"/>
  <c r="C31" i="8"/>
  <c r="C30" i="8"/>
  <c r="C29" i="8"/>
  <c r="C24" i="8"/>
  <c r="C23" i="8"/>
  <c r="C22" i="8"/>
  <c r="C21" i="8"/>
  <c r="C20" i="8"/>
  <c r="C19" i="8"/>
  <c r="C18" i="8"/>
  <c r="C17" i="8"/>
  <c r="F137" i="1" l="1"/>
  <c r="D139" i="1"/>
  <c r="F138" i="1"/>
  <c r="D50" i="1"/>
  <c r="D44" i="1"/>
  <c r="D43" i="1"/>
  <c r="C120" i="1"/>
  <c r="C118" i="1"/>
  <c r="E120" i="1"/>
  <c r="C337" i="17"/>
  <c r="D410" i="17"/>
  <c r="D140" i="1" l="1"/>
  <c r="F139" i="1"/>
  <c r="F148" i="1"/>
  <c r="D109" i="1"/>
  <c r="E109" i="1"/>
  <c r="C109" i="1"/>
  <c r="C105" i="1"/>
  <c r="E104" i="1"/>
  <c r="C104" i="1"/>
  <c r="E103" i="1"/>
  <c r="C103" i="1"/>
  <c r="E97" i="1"/>
  <c r="C97" i="1"/>
  <c r="E94" i="1"/>
  <c r="C94" i="1"/>
  <c r="E93" i="1"/>
  <c r="C93" i="1"/>
  <c r="E92" i="1"/>
  <c r="C92" i="1"/>
  <c r="E113" i="1"/>
  <c r="C113" i="1"/>
  <c r="E111" i="1"/>
  <c r="C111" i="1"/>
  <c r="E110" i="1"/>
  <c r="C110" i="1"/>
  <c r="E119" i="1"/>
  <c r="F119" i="1" s="1"/>
  <c r="C119" i="1"/>
  <c r="E118" i="1"/>
  <c r="F118" i="1" s="1"/>
  <c r="C29" i="14"/>
  <c r="E105" i="1" s="1"/>
  <c r="F140" i="1" l="1"/>
  <c r="D141" i="1"/>
  <c r="F103" i="1"/>
  <c r="F92" i="1"/>
  <c r="F113" i="1"/>
  <c r="F105" i="1"/>
  <c r="F104" i="1"/>
  <c r="F110" i="1"/>
  <c r="F111" i="1"/>
  <c r="F109" i="1"/>
  <c r="F94" i="1"/>
  <c r="C3" i="15"/>
  <c r="C135" i="1"/>
  <c r="F141" i="1" l="1"/>
  <c r="D142" i="1"/>
  <c r="D51" i="1"/>
  <c r="D64" i="1"/>
  <c r="D115" i="1"/>
  <c r="F147" i="1"/>
  <c r="E146" i="1"/>
  <c r="C146" i="1"/>
  <c r="D143" i="1" l="1"/>
  <c r="F142" i="1"/>
  <c r="D66" i="1"/>
  <c r="D144" i="1" l="1"/>
  <c r="F143" i="1"/>
  <c r="E126" i="1"/>
  <c r="F126" i="1" s="1"/>
  <c r="E130" i="1"/>
  <c r="F130" i="1" s="1"/>
  <c r="C126" i="1"/>
  <c r="C130" i="1"/>
  <c r="E72" i="1"/>
  <c r="F72" i="1" s="1"/>
  <c r="E73" i="1"/>
  <c r="F73" i="1" s="1"/>
  <c r="C72" i="1"/>
  <c r="C73" i="1"/>
  <c r="E56" i="1"/>
  <c r="F56" i="1" s="1"/>
  <c r="E60" i="1"/>
  <c r="F60" i="1" s="1"/>
  <c r="C56" i="1"/>
  <c r="E43" i="1"/>
  <c r="F43" i="1" s="1"/>
  <c r="E44" i="1"/>
  <c r="F44" i="1" s="1"/>
  <c r="F45" i="1"/>
  <c r="C45" i="1"/>
  <c r="E35" i="1"/>
  <c r="F35" i="1" s="1"/>
  <c r="E36" i="1"/>
  <c r="F36" i="1" s="1"/>
  <c r="C35" i="1"/>
  <c r="C36" i="1"/>
  <c r="E25" i="1"/>
  <c r="F25" i="1" s="1"/>
  <c r="E26" i="1"/>
  <c r="F26" i="1" s="1"/>
  <c r="E27" i="1"/>
  <c r="F27" i="1" s="1"/>
  <c r="C25" i="1"/>
  <c r="C26" i="1"/>
  <c r="C27" i="1"/>
  <c r="E16" i="1"/>
  <c r="E17" i="1"/>
  <c r="F17" i="1" s="1"/>
  <c r="E18" i="1"/>
  <c r="C16" i="1"/>
  <c r="C17" i="1"/>
  <c r="C18" i="1"/>
  <c r="C82" i="1"/>
  <c r="E82" i="1"/>
  <c r="F82" i="1" s="1"/>
  <c r="C83" i="1"/>
  <c r="E83" i="1"/>
  <c r="F83" i="1" s="1"/>
  <c r="C84" i="1"/>
  <c r="E84" i="1"/>
  <c r="F84" i="1" s="1"/>
  <c r="E124" i="1"/>
  <c r="E128" i="1"/>
  <c r="E127" i="1"/>
  <c r="E125" i="1"/>
  <c r="E129" i="1"/>
  <c r="E123" i="1"/>
  <c r="E114" i="1"/>
  <c r="F114" i="1" s="1"/>
  <c r="E115" i="1"/>
  <c r="F115" i="1" s="1"/>
  <c r="D88" i="1"/>
  <c r="E88" i="1"/>
  <c r="E87" i="1"/>
  <c r="E81" i="1"/>
  <c r="F81" i="1" s="1"/>
  <c r="E80" i="1"/>
  <c r="E77" i="1"/>
  <c r="E76" i="1"/>
  <c r="E71" i="1"/>
  <c r="E70" i="1"/>
  <c r="E64" i="1"/>
  <c r="F64" i="1" s="1"/>
  <c r="E66" i="1"/>
  <c r="E63" i="1"/>
  <c r="E55" i="1"/>
  <c r="E54" i="1"/>
  <c r="E51" i="1"/>
  <c r="E50" i="1"/>
  <c r="E48" i="1"/>
  <c r="E40" i="1"/>
  <c r="E41" i="1"/>
  <c r="E39" i="1"/>
  <c r="E31" i="1"/>
  <c r="E32" i="1"/>
  <c r="E33" i="1"/>
  <c r="E34" i="1"/>
  <c r="E30" i="1"/>
  <c r="E22" i="1"/>
  <c r="E23" i="1"/>
  <c r="E24" i="1"/>
  <c r="E21" i="1"/>
  <c r="A1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8" i="1" s="1"/>
  <c r="A19" i="1" s="1"/>
  <c r="A20" i="1" s="1"/>
  <c r="A21" i="1" s="1"/>
  <c r="A22" i="1" s="1"/>
  <c r="A23" i="1" s="1"/>
  <c r="A24" i="1" s="1"/>
  <c r="A28" i="1" s="1"/>
  <c r="A29" i="1" s="1"/>
  <c r="A30" i="1" s="1"/>
  <c r="A31" i="1" s="1"/>
  <c r="A32" i="1" s="1"/>
  <c r="A33" i="1" s="1"/>
  <c r="A34" i="1" s="1"/>
  <c r="A37" i="1" s="1"/>
  <c r="A38" i="1" s="1"/>
  <c r="A39" i="1" s="1"/>
  <c r="A40" i="1" s="1"/>
  <c r="A41" i="1" s="1"/>
  <c r="A46" i="1" s="1"/>
  <c r="A47" i="1" s="1"/>
  <c r="A48" i="1" s="1"/>
  <c r="A50" i="1" s="1"/>
  <c r="A51" i="1" s="1"/>
  <c r="A52" i="1" s="1"/>
  <c r="A53" i="1" s="1"/>
  <c r="A54" i="1" s="1"/>
  <c r="A55" i="1" s="1"/>
  <c r="A61" i="1" s="1"/>
  <c r="A62" i="1" s="1"/>
  <c r="A63" i="1" s="1"/>
  <c r="A64" i="1" s="1"/>
  <c r="A66" i="1" s="1"/>
  <c r="A68" i="1" s="1"/>
  <c r="A69" i="1" s="1"/>
  <c r="A70" i="1" s="1"/>
  <c r="A71" i="1" s="1"/>
  <c r="A74" i="1" s="1"/>
  <c r="A75" i="1" s="1"/>
  <c r="A76" i="1" s="1"/>
  <c r="A77" i="1" s="1"/>
  <c r="A78" i="1" s="1"/>
  <c r="A79" i="1" s="1"/>
  <c r="A80" i="1" s="1"/>
  <c r="C81" i="1"/>
  <c r="C88" i="1"/>
  <c r="C124" i="1"/>
  <c r="C128" i="1"/>
  <c r="C127" i="1"/>
  <c r="C125" i="1"/>
  <c r="C129" i="1"/>
  <c r="C123" i="1"/>
  <c r="C114" i="1"/>
  <c r="C115" i="1"/>
  <c r="C87" i="1"/>
  <c r="F144" i="1" l="1"/>
  <c r="A84" i="1"/>
  <c r="A97" i="1" s="1"/>
  <c r="A103" i="1" s="1"/>
  <c r="A104" i="1" s="1"/>
  <c r="A105" i="1" s="1"/>
  <c r="A109" i="1" s="1"/>
  <c r="A91" i="1"/>
  <c r="A92" i="1" s="1"/>
  <c r="A93" i="1" s="1"/>
  <c r="A94" i="1" s="1"/>
  <c r="F16" i="1"/>
  <c r="F55" i="1"/>
  <c r="F88" i="1"/>
  <c r="A81" i="1"/>
  <c r="A82" i="1" s="1"/>
  <c r="A83" i="1" s="1"/>
  <c r="C80" i="1"/>
  <c r="C77" i="1"/>
  <c r="C76" i="1"/>
  <c r="C71" i="1"/>
  <c r="C70" i="1"/>
  <c r="C64" i="1"/>
  <c r="C63" i="1"/>
  <c r="C55" i="1"/>
  <c r="C54" i="1"/>
  <c r="C50" i="1"/>
  <c r="C51" i="1"/>
  <c r="C48" i="1"/>
  <c r="F51" i="1"/>
  <c r="C33" i="1"/>
  <c r="C34" i="1"/>
  <c r="C32" i="1"/>
  <c r="C31" i="1"/>
  <c r="C30" i="1"/>
  <c r="C22" i="1"/>
  <c r="C23" i="1"/>
  <c r="C24" i="1"/>
  <c r="C21" i="1"/>
  <c r="E15" i="1"/>
  <c r="E14" i="1"/>
  <c r="C15" i="1"/>
  <c r="C14" i="1"/>
  <c r="F120" i="1"/>
  <c r="F97" i="1" l="1"/>
  <c r="F93" i="1"/>
  <c r="A85" i="1"/>
  <c r="A86" i="1" s="1"/>
  <c r="A87" i="1" s="1"/>
  <c r="A88" i="1" s="1"/>
  <c r="F145" i="1" l="1"/>
  <c r="F116" i="1"/>
  <c r="A89" i="1"/>
  <c r="A90" i="1" s="1"/>
  <c r="A114" i="1" s="1"/>
  <c r="A115" i="1" s="1"/>
  <c r="A110" i="1"/>
  <c r="A111" i="1" s="1"/>
  <c r="A112" i="1" s="1"/>
  <c r="A113" i="1" s="1"/>
  <c r="A116" i="1" l="1"/>
  <c r="A117" i="1" s="1"/>
  <c r="A118" i="1" s="1"/>
  <c r="A119" i="1" s="1"/>
  <c r="A120" i="1" s="1"/>
  <c r="A121" i="1" s="1"/>
  <c r="A122" i="1" s="1"/>
  <c r="A123" i="1" s="1"/>
  <c r="A124" i="1" s="1"/>
  <c r="A128" i="1" s="1"/>
  <c r="A127" i="1" s="1"/>
  <c r="A125" i="1" s="1"/>
  <c r="A129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F129" i="1" l="1"/>
  <c r="F125" i="1"/>
  <c r="F127" i="1"/>
  <c r="F128" i="1"/>
  <c r="F71" i="1" l="1"/>
  <c r="F87" i="1"/>
  <c r="F89" i="1" s="1"/>
  <c r="C1" i="1" l="1"/>
  <c r="D146" i="1" l="1"/>
  <c r="F146" i="1" s="1"/>
  <c r="F33" i="1"/>
  <c r="F41" i="1" l="1"/>
  <c r="F24" i="1"/>
  <c r="F23" i="1"/>
  <c r="F22" i="1"/>
  <c r="F21" i="1"/>
  <c r="F28" i="1" l="1"/>
  <c r="F124" i="1"/>
  <c r="F123" i="1"/>
  <c r="F131" i="1" s="1"/>
  <c r="F80" i="1" l="1"/>
  <c r="F66" i="1"/>
  <c r="F63" i="1"/>
  <c r="F68" i="1" l="1"/>
  <c r="F85" i="1"/>
  <c r="F40" i="1"/>
  <c r="F77" i="1" l="1"/>
  <c r="F54" i="1" l="1"/>
  <c r="F76" i="1"/>
  <c r="F78" i="1" l="1"/>
  <c r="F50" i="1"/>
  <c r="F61" i="1" l="1"/>
  <c r="F34" i="1" l="1"/>
  <c r="F31" i="1" l="1"/>
  <c r="F32" i="1" l="1"/>
  <c r="F30" i="1"/>
  <c r="F18" i="1" l="1"/>
  <c r="F15" i="1"/>
  <c r="F70" i="1" l="1"/>
  <c r="F74" i="1" s="1"/>
  <c r="F39" i="1" l="1"/>
  <c r="F46" i="1" l="1"/>
  <c r="F48" i="1"/>
  <c r="F14" i="1"/>
  <c r="F19" i="1" l="1"/>
  <c r="F52" i="1"/>
  <c r="F37" i="1" l="1"/>
  <c r="F121" i="1"/>
  <c r="F132" i="1" l="1"/>
  <c r="F133" i="1" s="1"/>
  <c r="F134" i="1" l="1"/>
  <c r="F135" i="1" s="1"/>
  <c r="C149" i="1" s="1"/>
  <c r="F150" i="1" s="1"/>
</calcChain>
</file>

<file path=xl/sharedStrings.xml><?xml version="1.0" encoding="utf-8"?>
<sst xmlns="http://schemas.openxmlformats.org/spreadsheetml/2006/main" count="2246" uniqueCount="1002">
  <si>
    <t>Заказчик:</t>
  </si>
  <si>
    <t>Место строительства:</t>
  </si>
  <si>
    <t>Наименование объекта:</t>
  </si>
  <si>
    <t>Примечания:</t>
  </si>
  <si>
    <t>Расчетная толщина сэндвич-паленей (кровля):</t>
  </si>
  <si>
    <t>Расчетная толщина сэндвич-паленей (стены):</t>
  </si>
  <si>
    <t>Металлокаркас:</t>
  </si>
  <si>
    <t>ИТОГО по разделу:</t>
  </si>
  <si>
    <t>Себестоимость всего комплекса строительства:</t>
  </si>
  <si>
    <t>Этажность здания:</t>
  </si>
  <si>
    <t>м3</t>
  </si>
  <si>
    <t>т</t>
  </si>
  <si>
    <t>м2</t>
  </si>
  <si>
    <t>компл</t>
  </si>
  <si>
    <t>шт</t>
  </si>
  <si>
    <t>ИТОГО</t>
  </si>
  <si>
    <t>Длины/широта</t>
  </si>
  <si>
    <t>Высота внутренняя этажа/высота общая здания:</t>
  </si>
  <si>
    <t>Окна</t>
  </si>
  <si>
    <t>Разметка и вынос осей</t>
  </si>
  <si>
    <t>чел/час</t>
  </si>
  <si>
    <t>Работа бульдозера</t>
  </si>
  <si>
    <t>Работа экскаватора</t>
  </si>
  <si>
    <t>маш/час</t>
  </si>
  <si>
    <t>Арматура</t>
  </si>
  <si>
    <t>Опалубка и прочие материалы</t>
  </si>
  <si>
    <t>Бетон В 20</t>
  </si>
  <si>
    <t>Закладные детали, болты и прочее</t>
  </si>
  <si>
    <t>Битум для гидроизоляции</t>
  </si>
  <si>
    <t>Щебень</t>
  </si>
  <si>
    <t>Крепеж, доборные, пена и тд</t>
  </si>
  <si>
    <t>Устройство щебеночной подготовки</t>
  </si>
  <si>
    <t>Монтаж дверей</t>
  </si>
  <si>
    <t xml:space="preserve">                                                                                                                                                                       </t>
  </si>
  <si>
    <t>Монтаж окон</t>
  </si>
  <si>
    <t>ИТОГО ОБЩЕСТРОИТЕЛЬНЫЕ РАБОТЫ:</t>
  </si>
  <si>
    <t>Устройство полов бетонных</t>
  </si>
  <si>
    <t>Устройство утеплителя</t>
  </si>
  <si>
    <t>Отделка профлистом</t>
  </si>
  <si>
    <t>цена за м2:</t>
  </si>
  <si>
    <t>Электрика  (материалы)</t>
  </si>
  <si>
    <t>Электрика (монтаж)</t>
  </si>
  <si>
    <t>АПС (материалы)</t>
  </si>
  <si>
    <t>АПС (монтаж)</t>
  </si>
  <si>
    <t>Монтаж ворот</t>
  </si>
  <si>
    <t>Удаленность от крупных городов (где есть ЖБИ, спецтехника и тд), особые условия доставки:</t>
  </si>
  <si>
    <t>Утеплитель пенополистирол 100 мм</t>
  </si>
  <si>
    <t>Гидроизоляция фундаментов, включая фундамент под колонны</t>
  </si>
  <si>
    <t>Ворота (роллеты) 4х4,5</t>
  </si>
  <si>
    <t xml:space="preserve">  </t>
  </si>
  <si>
    <t>Количество машин на доставку/бетон по 5 м3/щебень по 10 т:</t>
  </si>
  <si>
    <t>Площадь здания по осям:</t>
  </si>
  <si>
    <t>Работа крана 2,5 месяца</t>
  </si>
  <si>
    <t>Кран-балка 2 т</t>
  </si>
  <si>
    <t>Дверь внутренняя</t>
  </si>
  <si>
    <t>Дополнительный профлист на отделку (потолок венткамеры, карнизы, цоколь и тд)</t>
  </si>
  <si>
    <t>Отопление и вентиляция (материалы)</t>
  </si>
  <si>
    <t>Отопление и вентиляция (монтаж)</t>
  </si>
  <si>
    <t>Устройство отмостки бетонной</t>
  </si>
  <si>
    <t>Устройство утеплителя по периметру</t>
  </si>
  <si>
    <t>Устройство щебеночной подготовки под отмостку</t>
  </si>
  <si>
    <t>Земляные работы.</t>
  </si>
  <si>
    <t xml:space="preserve">Фундамент </t>
  </si>
  <si>
    <t>Балки фундаментные монолитные</t>
  </si>
  <si>
    <t>Полы</t>
  </si>
  <si>
    <t>Наружные стены</t>
  </si>
  <si>
    <t>Кровля</t>
  </si>
  <si>
    <t xml:space="preserve">Проемы </t>
  </si>
  <si>
    <t>Двери</t>
  </si>
  <si>
    <t>Ворота</t>
  </si>
  <si>
    <t>Отмостка, благоустройство, цоколь</t>
  </si>
  <si>
    <t>Отделочные работы</t>
  </si>
  <si>
    <t>Лестницы, крыльца</t>
  </si>
  <si>
    <t>Накладные расходы</t>
  </si>
  <si>
    <t>Инженерные сети:</t>
  </si>
  <si>
    <t>Внутренние перегородки</t>
  </si>
  <si>
    <t>Фундаменты под колонны</t>
  </si>
  <si>
    <t>Монолитная фундаментная плита</t>
  </si>
  <si>
    <t>Устройство ж/б конструкций</t>
  </si>
  <si>
    <t>Металлоконструкции заводского изготовления</t>
  </si>
  <si>
    <t>Монтаж металлоконструкций</t>
  </si>
  <si>
    <t>Устройство огнезащитного покрытия</t>
  </si>
  <si>
    <t>Сэндвич-панели б=150 мм</t>
  </si>
  <si>
    <t>Сэндвич-панели б=200 мм</t>
  </si>
  <si>
    <t>Сэндвич-панели б=100 мм</t>
  </si>
  <si>
    <t>Монтаж сендвич-панелей стеновых</t>
  </si>
  <si>
    <t>Монтаж сендвич-панелей перегородок</t>
  </si>
  <si>
    <t>-</t>
  </si>
  <si>
    <t>Проектные работы 1катег.</t>
  </si>
  <si>
    <t>Проектные работы 2катег.</t>
  </si>
  <si>
    <t>Проектные работы 3катег.</t>
  </si>
  <si>
    <t>Неучтенные работы и материалы 5%</t>
  </si>
  <si>
    <t>Дверь стальная Витязь (Ярополк ДС) г. Воронеж, 1,31*2,1</t>
  </si>
  <si>
    <t>Дверь Гладкая ПВХ (фабрика "Verda" г. Одинцово), 0,71*2,1</t>
  </si>
  <si>
    <t>Дверь внутренняя межкомнатная, мазонитовая, 0,71*2,1</t>
  </si>
  <si>
    <t>Двери входная металлическая утеплённая 1,31*2,1</t>
  </si>
  <si>
    <t>Двери входная металлическая утеплённая 1,81*2,1</t>
  </si>
  <si>
    <t>Дверь стальная Витязь (Златомир) селекция 0,91*2,1</t>
  </si>
  <si>
    <t>Окна ПВХ</t>
  </si>
  <si>
    <t>Крыльца 1,2м</t>
  </si>
  <si>
    <t>Лестница для 2-х эт здания - 0,95тн</t>
  </si>
  <si>
    <t>Металлоконструкции въздного пандуса - 2,7х2м - 0,4тн</t>
  </si>
  <si>
    <t>Металлоконструкции входного крыльца - 2,3х2,3м - 0,4тн</t>
  </si>
  <si>
    <t>%</t>
  </si>
  <si>
    <t xml:space="preserve">СТЕНЫ </t>
  </si>
  <si>
    <t>ЕвроВагонка 14х90х2500</t>
  </si>
  <si>
    <t>Комплектующие для подсистемы (кронштейны, профиль, соединители, саморезы)</t>
  </si>
  <si>
    <t>ПОЛ</t>
  </si>
  <si>
    <t>Укладка линолиума, плинтусов, порожкев</t>
  </si>
  <si>
    <t>ПОТОЛОК</t>
  </si>
  <si>
    <t>Монтаж облицовки потолков</t>
  </si>
  <si>
    <t>Монтаж стального покрытия</t>
  </si>
  <si>
    <t>Просечно-вытяжной лист 410 от производителя, Ст3 (венткамера, эл.щитовая, тепловой узел)</t>
  </si>
  <si>
    <t>Монтаж облицовки стен панелями, вагонкой</t>
  </si>
  <si>
    <t>Укладка кафеля на пол</t>
  </si>
  <si>
    <t>Кафель для пола</t>
  </si>
  <si>
    <t>Линолеум</t>
  </si>
  <si>
    <t>Плитка настенная Сахара песочная 25*33, 356р/м2</t>
  </si>
  <si>
    <t>Плитка настенная Береста желтая 20*30, 414р/м2</t>
  </si>
  <si>
    <t>Панель стеновая МДФ Бук восточный 2700*240*6, 163р/м2</t>
  </si>
  <si>
    <t>Панель МДФ Кроностар Стандарт, 173р/м2</t>
  </si>
  <si>
    <t>Панели ПВХ , 165р/м2</t>
  </si>
  <si>
    <t>Стекломагниевый лист, 130р/м2</t>
  </si>
  <si>
    <t>ЕвроВагонка 14х90х2500, 235р/м2</t>
  </si>
  <si>
    <t>Керабуд Оникс 3</t>
  </si>
  <si>
    <t>Армстронг, 165р/м2</t>
  </si>
  <si>
    <t>Подвесные потолки Армстронг Scala (Скала) 600*600*12 (кромка Board), 280р/м2</t>
  </si>
  <si>
    <t>Подвесные потолки Армстронг OASIS Plus (Оазис плюс) 600*600*12 (кромка Board), 300р/м2</t>
  </si>
  <si>
    <t>Подвесные потолки Армстронг OASIS (Оазис) 600*600*12 (кромка Board), 168р/м2</t>
  </si>
  <si>
    <t>Существующие стены перегородок, без облицовки</t>
  </si>
  <si>
    <t>Вагонка ПВХ Белая 100 мм (для помещ.с влажным режимом), 120р/м2</t>
  </si>
  <si>
    <t>Плитка для пола керабуд Астория 3П 30*30, 539р/м2</t>
  </si>
  <si>
    <t>Плитка для пола Соло Крема 300*300, 599р/м2</t>
  </si>
  <si>
    <t>Комплектующие для подсистемы (кронштейны, профиль, соединители, саморезы...)</t>
  </si>
  <si>
    <t>Панели ПВХ (для помещений с влажным режимом)</t>
  </si>
  <si>
    <t>Существующие конструкции потолка</t>
  </si>
  <si>
    <t>Доставка Новосибирск-Якутия</t>
  </si>
  <si>
    <t>рейс</t>
  </si>
  <si>
    <t xml:space="preserve"> коммутатор сетевой оптический с 48 портами 10/100Base-TX + 2 портами 10/100/1000BASE-T, 2 комбо-портами 10/100/1000BASE-T/SFP </t>
  </si>
  <si>
    <t xml:space="preserve">коммутатор сетевой 2 уровня с 24 портами SFP + 4 комбо-портами 1000Base-T/SFP </t>
  </si>
  <si>
    <t>Оптический Модуль GigaLink SFP, WDM, 100/155 Мбит/c, одно волокно SM, SC, Tx:1550/Rx:1310 нм, 14 дБ (до 20 км) (GL-09R)</t>
  </si>
  <si>
    <t>Управляемый коммутатор L2+ с 24 SFP-слотами 100BASE-X и 4 SFP-слотами 1000BASE-X из которых 2 совмещены с портами Gigabit Ethernet</t>
  </si>
  <si>
    <t>Видеосервер Domination IP-16 2U( Поддержка 16 IP камер;возможность установки до 4 HDD до 3 Tb каждый; 2 сетевые платы; 19" корпус 2U</t>
  </si>
  <si>
    <t>блок питания 12 В для FC-1,FC-1G,FC-4</t>
  </si>
  <si>
    <t>медиаконвертер гигабитный FС-1G</t>
  </si>
  <si>
    <t xml:space="preserve">медиаконвертер </t>
  </si>
  <si>
    <t>Фото реле ФР 602 серый, макс. нагр. 4400 Вт, IP 44</t>
  </si>
  <si>
    <t>Ядро системы "Интеллект" (guardant) ПО</t>
  </si>
  <si>
    <t>ПО обработки IP камер</t>
  </si>
  <si>
    <t>Удаленное рабочее место серверная программное обеспечение</t>
  </si>
  <si>
    <t xml:space="preserve">Устроиство грозозащиты для локально вычислительной сети SP006p </t>
  </si>
  <si>
    <t>разъем RG-45 (8p8s) под витую пару 5E</t>
  </si>
  <si>
    <t>Кабель связи парной скрутки уличный,экран бухта 305м.(сечение жил 4*2*0.5)</t>
  </si>
  <si>
    <t>Камера тип 1 DS-2CD 8253F-EIS (Z)</t>
  </si>
  <si>
    <t>Камера тип 2 DS-2CD 8253F-EIS (z)</t>
  </si>
  <si>
    <t>Камера тип 3 ACV-442 ESS</t>
  </si>
  <si>
    <t>Обьектив (пункт 1.7) LV 3080 DIR</t>
  </si>
  <si>
    <t>Обьектив (пункт 1.8) M 13VM 550</t>
  </si>
  <si>
    <t>Обьектив (пункт 1.9) LV 3080 DIR</t>
  </si>
  <si>
    <t>Термокожух ( пункт 1.10) он нетребуется, т.к камера уже идет в термокожухе</t>
  </si>
  <si>
    <t xml:space="preserve">Термокожух ( пункт 1.11) SVS - 26 </t>
  </si>
  <si>
    <t>Кабель оптический внешний с выносным несущим элементом 8*9/125</t>
  </si>
  <si>
    <t>Блок 8 розеток 250 В/ 16 А, 2К+3,440 мм, крепеж 19" 1U, индик, шнур 1,8 м</t>
  </si>
  <si>
    <t>Полка перфорированная грузоподъемностью 100кг, глубина 750 мм</t>
  </si>
  <si>
    <t>Ввод кабельный универсальный</t>
  </si>
  <si>
    <t>Шнур 2 пигтейла sc-sc,9/125 upc,0.9 mm, 2*1, upc exalan</t>
  </si>
  <si>
    <t>оптический патч корд, sc-sc,9/125, simplex 3m</t>
  </si>
  <si>
    <t>шкаф телекомуникационный 33 U (600*1000) дверь перфорированная</t>
  </si>
  <si>
    <t>Адаптер проходной sc simplex "exalan +"</t>
  </si>
  <si>
    <t>Муфта оптическая тупиковая GJS 0,3/15 ,(болт 48)</t>
  </si>
  <si>
    <t>Вставка на 8 sc simplex</t>
  </si>
  <si>
    <t xml:space="preserve">сплайс кассета для 12452 пластиковая на 32 волокна с крышкой </t>
  </si>
  <si>
    <t xml:space="preserve">конектор байонетный </t>
  </si>
  <si>
    <t xml:space="preserve">инжектор 2х портовый FSE-2Cдля питания 2х термокожухов tfortis T  </t>
  </si>
  <si>
    <t>блок питания 12в 10вт</t>
  </si>
  <si>
    <t>монитор 24" 1920x1200 1000:1 250CDM2,5ms,DVI,HDMI,DP, USB,black</t>
  </si>
  <si>
    <t>Клавиатура+мышь Microsoft Wired 400 Desktop USB Black Retail (5MH-00016)</t>
  </si>
  <si>
    <t>переключатель SWITCh 19</t>
  </si>
  <si>
    <t>Удлинитель KVM USB, 150 м. по UTP кат. 5, ASIC, с кабелем</t>
  </si>
  <si>
    <t>Контроллер LSI Logic HBA SAS 9211-8i Kit</t>
  </si>
  <si>
    <t>шлейф sas sff-8087,06m</t>
  </si>
  <si>
    <t>жёсткий диск для сервера        3 тб</t>
  </si>
  <si>
    <t xml:space="preserve">
Источник бесперебойного питания C3KS HF 3000VA/2100W</t>
  </si>
  <si>
    <t>Коммутационная панель 19" 1U 8/16/24 порта, с аксессуарами, без вставок, без сплайс-кассеты, (EX ШКОС 1u)</t>
  </si>
  <si>
    <t>бокс оптический с комплектом панелей 16/24 порта</t>
  </si>
  <si>
    <t>м</t>
  </si>
  <si>
    <t>Кабель/шнур, монитор+клав.+мышь USB, SPHD15=&gt;HD DB15+USB A-Тип, Male-2xMale, опрессованный, 3 метр., (с поддержкой KVM PS/2) [ATEN]</t>
  </si>
  <si>
    <t>Опора ж/б</t>
  </si>
  <si>
    <t>Опора металл 1</t>
  </si>
  <si>
    <t>Опора металл 2</t>
  </si>
  <si>
    <t>Коробка монтаж. 150х100х70 ip 55</t>
  </si>
  <si>
    <t>Кабель огнест. ввг нг 3х1,5</t>
  </si>
  <si>
    <t>Кабель огнест. ввг нг 3х2,5</t>
  </si>
  <si>
    <t>Кабель огнест. ввг нг 3х4</t>
  </si>
  <si>
    <t>Кабель огнест. ввг нг 5х4</t>
  </si>
  <si>
    <t>гофра труба ПВХ D 25</t>
  </si>
  <si>
    <t>Кронштейн стеновой для РКУ/ЖКУ</t>
  </si>
  <si>
    <t>Тросс  растяжки стальной 4мм.</t>
  </si>
  <si>
    <t>Винт с шайбой и гайкой для шкафов 19</t>
  </si>
  <si>
    <t>кабель канал, двойной замок 40х25 (50 м. в упаковке)</t>
  </si>
  <si>
    <t>Анкер 12х150</t>
  </si>
  <si>
    <t xml:space="preserve">  кронштейн адаптер для светильника на металлическую опору тип 1</t>
  </si>
  <si>
    <t>кронштейн адаптер для светильника на металлическую опору тип 2</t>
  </si>
  <si>
    <t>лента монтажная для хомутов 0.8*20мм (уп 40 м) (с201)</t>
  </si>
  <si>
    <t>универсальное крепление на опору для Tfortis TH и Tfortis crossbox</t>
  </si>
  <si>
    <t>Модуль вентиляторный потолочный(170*475), 3 вентилятора с датчиком 35С,3800</t>
  </si>
  <si>
    <t>кондиционер сплит-система 5.2квт</t>
  </si>
  <si>
    <t>комплект зимнего запуска(север)</t>
  </si>
  <si>
    <t>кронштейн настенный внешнего блока</t>
  </si>
  <si>
    <t>теплообменная магистраль</t>
  </si>
  <si>
    <t>скоба для ленты(уп100шт)А 200(В20)</t>
  </si>
  <si>
    <t xml:space="preserve">траверса металлическая </t>
  </si>
  <si>
    <t xml:space="preserve">ножки для шкафов ЦМО набор 4 штуки </t>
  </si>
  <si>
    <t>кабельный органайзер горизонтальный. 19" 1U,4 кольца, черный металлический</t>
  </si>
  <si>
    <t>шина заземления горизонтальная 19"</t>
  </si>
  <si>
    <t>Щит настенный силовой распределительный ip 31, 12 модулей, 265Х310Х120</t>
  </si>
  <si>
    <t>компл.</t>
  </si>
  <si>
    <t>Монтаж компрессора</t>
  </si>
  <si>
    <t>Труба AISI 304 Ø 28х1,5</t>
  </si>
  <si>
    <t>Отвод AISI 304 Ø 28</t>
  </si>
  <si>
    <t>Труба AISI 304 Ø 85х3,5</t>
  </si>
  <si>
    <t>Отвод AISI 304 Ø 85х3,5</t>
  </si>
  <si>
    <t xml:space="preserve">Труба AISI 304 Ø 85х2 </t>
  </si>
  <si>
    <t>Отвод AISI 304 Ø 85</t>
  </si>
  <si>
    <t>Фланец AISI 304 Ø 85</t>
  </si>
  <si>
    <t>Переход AISI 304 Ø 85х70</t>
  </si>
  <si>
    <t>Фланец AISI 304 Ø 70</t>
  </si>
  <si>
    <t>Кран шаровый AISI 304 Ø 85</t>
  </si>
  <si>
    <t>Труба профильная 80х80х3</t>
  </si>
  <si>
    <t>Лист 1500х6000х4</t>
  </si>
  <si>
    <t>кг</t>
  </si>
  <si>
    <t>Грязезащитное резиновое покрытие</t>
  </si>
  <si>
    <t>Укладка грязезащитного покрытия</t>
  </si>
  <si>
    <t>доборный элемент 0,7*...</t>
  </si>
  <si>
    <t>м.п.</t>
  </si>
  <si>
    <t>швеллер 10</t>
  </si>
  <si>
    <t>Головка рукавная ГР-50 (Al)</t>
  </si>
  <si>
    <t>Головка цапковая ГЦ-50 (Al)</t>
  </si>
  <si>
    <t>Заглушка Д-27  3/4</t>
  </si>
  <si>
    <t>Клей Thermaflex 1 литр</t>
  </si>
  <si>
    <t>Кран маевского Ду 20</t>
  </si>
  <si>
    <t>Кран пожарный 15б3р Ду 50 Ру 10 А51</t>
  </si>
  <si>
    <t>Кран трехходовой 11б18бк с ручкой (для маном.)</t>
  </si>
  <si>
    <t>Кран шаровый VP  (г/ш, ручка-рычаг) Ду15 Ру16</t>
  </si>
  <si>
    <t>Кран шаровый VP  (г/ш, ручка-рычаг) Ду20 Ру16</t>
  </si>
  <si>
    <t>Кран шаровый VP  (м/м, ручка-бабочка) Ду25 Ру16</t>
  </si>
  <si>
    <t>Кран шаровый VP (г/ш американка) Ду 15 (ручка-бабочка)</t>
  </si>
  <si>
    <t>Кран шаровый VP (г/ш американка) Ду 20 (ручка-бабочка)</t>
  </si>
  <si>
    <t>Кран шаровый VP (г/ш американка) Ду 25 (ручка-бабочка)</t>
  </si>
  <si>
    <t>КШ.Ц.Ф.020.040.02</t>
  </si>
  <si>
    <t>КШ.Ц.Ф.065.016.02</t>
  </si>
  <si>
    <t>КШ.Ц.Ф.100/080.016.02</t>
  </si>
  <si>
    <t>Манометр МТ-100 Ду 15  Ру 10</t>
  </si>
  <si>
    <t>Отвод стальной Ду 89x3.5</t>
  </si>
  <si>
    <t>Переход стальной 57х3 - 32х2</t>
  </si>
  <si>
    <t>Переход стальной 89х3,5 - 57х3</t>
  </si>
  <si>
    <t>Ревизия  ПП Ду 50 (упаковка 25 шт.)</t>
  </si>
  <si>
    <t>Ревизия ЧК Ду100</t>
  </si>
  <si>
    <t>Ревизия ЧК Ду150</t>
  </si>
  <si>
    <t>Ревизия ЧК Ду50</t>
  </si>
  <si>
    <t>Ствол пожарный РС-50 (Al)</t>
  </si>
  <si>
    <t>Труба  НПВХ для внутренней канализации Ду 110*2,2*2000</t>
  </si>
  <si>
    <t>Труба  ПП Ду 50 (2,00м) с раструбом</t>
  </si>
  <si>
    <t>Труба армированная стекловолокном D20x3.4 FIRAT</t>
  </si>
  <si>
    <t>Труба армированная стекловолокном D25x4.2 FIRAT</t>
  </si>
  <si>
    <t>Труба армированная стекловолокном D32x5.4 FIRAT</t>
  </si>
  <si>
    <t>Труба ЧК Д 100 (длина 2,0 м)</t>
  </si>
  <si>
    <t>Труба ЧК Д 150 (длина 2,0 м)</t>
  </si>
  <si>
    <t>шт.</t>
  </si>
  <si>
    <t>Труба ЧК Д 50 (длина 2,0 м)</t>
  </si>
  <si>
    <t>Трубы стальные электросварные 159х4,5 мм 11,7м</t>
  </si>
  <si>
    <t>трубы электросварные 89х3,5 НЗМ</t>
  </si>
  <si>
    <t>Трубная изоляция Термафлекс "ТермаЭКО" E-114 9мм</t>
  </si>
  <si>
    <t>Трубная изоляция Термафлекс "ТермаЭКО" E-22 9мм</t>
  </si>
  <si>
    <t>Трубная изоляция Термафлекс "ТермаЭКО" E-28 9мм</t>
  </si>
  <si>
    <t>Трубная изоляция Термафлекс "ТермаЭКО" E-35 9мм</t>
  </si>
  <si>
    <t>Трубная изоляция Термафлекс "ТермаЭКО" E-42 9мм</t>
  </si>
  <si>
    <t>Трубная изоляция Термафлекс "ТермаЭКО" E-48 9мм</t>
  </si>
  <si>
    <t>Трубная изоляция Термафлекс "ТермаЭКО" E-60 9мм</t>
  </si>
  <si>
    <t>Трубная изоляция Термафлекс "ТермаЭКО" E-76 9мм</t>
  </si>
  <si>
    <t>Трубная изоляция Термафлекс "ТермаЭКО" E-89 9мм</t>
  </si>
  <si>
    <t>Трубная изоляция Термафлекс "ТермаЭКО" Р-35 25мм</t>
  </si>
  <si>
    <t>Трубная изоляция Термафлекс "ТермаЭКО" Р-42 25мм</t>
  </si>
  <si>
    <t>Трубная изоляция Термафлекс "ТермаЭКО" Р-54 25мм</t>
  </si>
  <si>
    <t>Фильтр ФМФ Ду100 Ру16 VP</t>
  </si>
  <si>
    <t>Фильтр ФМФ Ду80 Ру16 VP</t>
  </si>
  <si>
    <t>Фланец   Ду 100 Ру 16</t>
  </si>
  <si>
    <t>Фланец   Ду 65 Ру 16</t>
  </si>
  <si>
    <t>Фланец   Ду 80 Ру 16</t>
  </si>
  <si>
    <t>Шкаф пожарный ШПК-320 НЗ</t>
  </si>
  <si>
    <t>труба 76х3,5 Ст3пс дл.11,7м. (НМЗ)</t>
  </si>
  <si>
    <t>Полотенцесушитель "М"-обр. 1" 500х500 нерж. сталь</t>
  </si>
  <si>
    <t>Унитаз-компакт "ПОЛЕСЬЕ" в комплекте с сид, кноп. арматурой</t>
  </si>
  <si>
    <t>Умывальник "ВЕНЕЦИЯ"  с/о, крепление 2299</t>
  </si>
  <si>
    <t>Пьедестал "ВЕНЕЦИЯ" 2300</t>
  </si>
  <si>
    <t>Писуар "Гала" с креплением и сифоном</t>
  </si>
  <si>
    <t>Сифон "Орио" для мойки/умыв бутылочный 1 1/2 40 с нерж.чашкой и гиб.трубой (А-32019)</t>
  </si>
  <si>
    <t>Смеситель для раковины BOOU 8188-14А</t>
  </si>
  <si>
    <t>Смеситель для раковины Oras Electra сенсорный 6150F</t>
  </si>
  <si>
    <t>Кран шаровый VP  (м/м, ручка-бабочка) Ду15 Ру16</t>
  </si>
  <si>
    <t>Кронштейн КР-1</t>
  </si>
  <si>
    <t>Труба стальная ВГП Ду 15х2,8 ГОСТ 3262-75</t>
  </si>
  <si>
    <t>Труба стальная ВГП Ду 20х2,8 ГОСТ 3262-75</t>
  </si>
  <si>
    <t>Труба стальная ВГП Ду 25х3,2 ГОСТ 3262-75</t>
  </si>
  <si>
    <t>Труба стальная ВГП Ду 32х3,2 ГОСТ 3262-75</t>
  </si>
  <si>
    <t>Труба стальная ВГП Ду 40х3,5 ГОСТ 3262-75</t>
  </si>
  <si>
    <t>Труба стальная ВГП Ду 50х3,2 ГОСТ 3262-75</t>
  </si>
  <si>
    <t>Светильник ARS/R 418 (595) 4х18Вт IP20 (10641810)</t>
  </si>
  <si>
    <t>Светильник OPL/R 418 (595) опал 4х18Вт IP20</t>
  </si>
  <si>
    <t>Светильник PRS/R 418 (595) призма 4х18Вт IP20</t>
  </si>
  <si>
    <t>Светильник DR.OPL 418 (595) опал 4х18Вт IP43/IP20</t>
  </si>
  <si>
    <t>Светильник ARCTIC 236 2х36Вт (SAN/SMC) IP65</t>
  </si>
  <si>
    <t>Светильник ARCTIC 236 2х36Вт (PC/SMC) IP65</t>
  </si>
  <si>
    <t xml:space="preserve">Комплект крепления светильника Arctic на подвесы </t>
  </si>
  <si>
    <t xml:space="preserve">Светильник VELA 126 крест 1х26Вт КЛЛ G24d3 IP20 </t>
  </si>
  <si>
    <t xml:space="preserve">Светильник HBN 100 1х100Вт ЛН Е27 IP23 </t>
  </si>
  <si>
    <t xml:space="preserve">Светильник OTN 136 1х36Вт IP20 </t>
  </si>
  <si>
    <t>Светильник ЛПО3019 2x9Вт 230В G23 IP44 ИЭК</t>
  </si>
  <si>
    <t xml:space="preserve">Светильник LED CUPOLA HBL 12 LED 700лм IP23 </t>
  </si>
  <si>
    <t xml:space="preserve">Светильник CMG/R 236 2х36Вт КЛЛ 2G11 IP20 ЭПРА </t>
  </si>
  <si>
    <t>Светильник аварийный эвакуционный со встроенным аккумулятором</t>
  </si>
  <si>
    <t>Лампа CE ST 23/840 E27 Comtech</t>
  </si>
  <si>
    <t xml:space="preserve">Розетка переносная 5п/16А/IP44 400V Mennekes </t>
  </si>
  <si>
    <t>Комплект для заделки кабел</t>
  </si>
  <si>
    <t>Труба  ПВХ  d20 гибкая с протяжкой (100м) УЭП</t>
  </si>
  <si>
    <t>Термостат в комлекте с датчиком температуры, внешний</t>
  </si>
  <si>
    <t>Соединительная коробка DKC 120х80х50</t>
  </si>
  <si>
    <t xml:space="preserve">Хомут металический с замками </t>
  </si>
  <si>
    <t xml:space="preserve">Опорный кронштейн </t>
  </si>
  <si>
    <t>Коробка уст. скр.пр. Schneider Electric для сплошных стен d68х60 наборная IMT35101</t>
  </si>
  <si>
    <t>Коробка распр. скр.пр. КС 1 D70 х h45 с крыш. (кирпич)</t>
  </si>
  <si>
    <t>Коробка распр. откр.пр. PE 120013  65х65х40 IP54 4 ввода</t>
  </si>
  <si>
    <t>Коробка У 994М (100х100х80) IР54</t>
  </si>
  <si>
    <t>Коробка У 995М (150х150х90) IР54</t>
  </si>
  <si>
    <t>Труба  ПВХ  d25 гибкая с протяжкой (75м) УЭП</t>
  </si>
  <si>
    <t>Кабель ВВГнг 5х2,5</t>
  </si>
  <si>
    <t>Кабель ВВГнг 4х2,5</t>
  </si>
  <si>
    <t>Кабель ВВГнг 4х4</t>
  </si>
  <si>
    <t>Кабель ВВГнг(А) 5х25</t>
  </si>
  <si>
    <t>Кабель ВВГнг(А) 4х16</t>
  </si>
  <si>
    <t>Шкаф ШСнкд</t>
  </si>
  <si>
    <t>шкаф ЩСкд3</t>
  </si>
  <si>
    <t>Шкаф ЩСкд2</t>
  </si>
  <si>
    <t>Шкаф ЩСкд1</t>
  </si>
  <si>
    <t>Шкаф ЩРХк</t>
  </si>
  <si>
    <t>Шкаф ЩСв2</t>
  </si>
  <si>
    <t>Шкаф ЩСв1</t>
  </si>
  <si>
    <t>Шкаф ЩСтх4</t>
  </si>
  <si>
    <t>Шкаф ЩСх3</t>
  </si>
  <si>
    <t>Шкаф ЩСтх3</t>
  </si>
  <si>
    <t>Шкаф ЩСт2</t>
  </si>
  <si>
    <t>Шкаф ЩСх1</t>
  </si>
  <si>
    <t>Шкаф ЩСт1</t>
  </si>
  <si>
    <t>Шкаф ЩСтх2</t>
  </si>
  <si>
    <t>Шкаф ЩСтх1</t>
  </si>
  <si>
    <t>Шкаф ЩАО3</t>
  </si>
  <si>
    <t>Шкаф ЩАО2</t>
  </si>
  <si>
    <t>Шкаф ЩАО1</t>
  </si>
  <si>
    <t>Шкаф ЩО5</t>
  </si>
  <si>
    <t>Шкаф ЩО4</t>
  </si>
  <si>
    <t>Шкаф ЩО3</t>
  </si>
  <si>
    <t>Шкаф ЩО2</t>
  </si>
  <si>
    <t>Шкаф ЩО1</t>
  </si>
  <si>
    <t>Лоток проволочный 60х300х3000мм в комплекте с площадками фиксаторными, гайками, шпильками, соединителями</t>
  </si>
  <si>
    <t>Держатель потолочный</t>
  </si>
  <si>
    <t xml:space="preserve">Соединитель перфорированный </t>
  </si>
  <si>
    <t>Соединительный комплект</t>
  </si>
  <si>
    <t>Лоток перфорированный 80х200х3000 в комплекте с болтами, гайками, втулками</t>
  </si>
  <si>
    <t>Скоба потолочная</t>
  </si>
  <si>
    <t>Втулка в профиль</t>
  </si>
  <si>
    <t>Профиль перфорированный</t>
  </si>
  <si>
    <t>Кронштейн замковый</t>
  </si>
  <si>
    <t>Пластина</t>
  </si>
  <si>
    <t>Поворот на 90град</t>
  </si>
  <si>
    <t>Кабельный канал 165х55мм с фронтальной крышкой</t>
  </si>
  <si>
    <t>Кабельный канал 75х55мм с фронтальной крышкой</t>
  </si>
  <si>
    <t>Установочная коробка для лючков на 4розетки</t>
  </si>
  <si>
    <t>Установочная коробка для лючков на 6розеток</t>
  </si>
  <si>
    <t>Напольный розеточный лючок на 4 розетки</t>
  </si>
  <si>
    <t>Напольный розеточный лючок на 6 розетки</t>
  </si>
  <si>
    <t>Монтажный суппорт для лючков</t>
  </si>
  <si>
    <t>Адаптер для модульного устройства</t>
  </si>
  <si>
    <t xml:space="preserve">    АВДТ322Р, С10А,  Iут.=30мА</t>
  </si>
  <si>
    <t xml:space="preserve">    АВДТ322Р, С6А,  Iут.=30мА</t>
  </si>
  <si>
    <t xml:space="preserve">    аксессуары (узлы, переходы)</t>
  </si>
  <si>
    <t xml:space="preserve">    Анкер К675УЗ</t>
  </si>
  <si>
    <t xml:space="preserve">    Болт полнонарезной М8х45</t>
  </si>
  <si>
    <t xml:space="preserve">    ВА47292Р, С10А</t>
  </si>
  <si>
    <t xml:space="preserve">    ВА47292Р, С3А</t>
  </si>
  <si>
    <t xml:space="preserve">    ВА47292Р, С6А</t>
  </si>
  <si>
    <t xml:space="preserve">    ВА47293р, D16А</t>
  </si>
  <si>
    <t xml:space="preserve">    ВА47293р,С25А</t>
  </si>
  <si>
    <t xml:space="preserve">    Винт М6х10</t>
  </si>
  <si>
    <t xml:space="preserve">    Внешний угол КМН 40х25 мм СКК10DN40025КО1</t>
  </si>
  <si>
    <t xml:space="preserve">    Внутренний угол КМD 100х60 мм СКК10DV100060КО1</t>
  </si>
  <si>
    <t xml:space="preserve">    Внутренний угол КМD 40х25 мм СКК10DV40025КО1</t>
  </si>
  <si>
    <t xml:space="preserve">    Внутренний угол КМD 60х40 мм СКК10DV60040КО1</t>
  </si>
  <si>
    <t xml:space="preserve">    ВРУ 250А в сборе с водным автоматом, трёхфазным счётчиком, трансформатором ток и распределительными автоматами 14шт на динрейке</t>
  </si>
  <si>
    <t xml:space="preserve">    Выключатель двухклавишный, для открытой установки</t>
  </si>
  <si>
    <t xml:space="preserve">    Выключатель двухклавишный, для скрытой установки</t>
  </si>
  <si>
    <t xml:space="preserve">    выключатель одноклавишный, для открытой установки</t>
  </si>
  <si>
    <t xml:space="preserve">    Выключатель одноклавишный, для скрытой установки</t>
  </si>
  <si>
    <t xml:space="preserve">    Гайка М6</t>
  </si>
  <si>
    <t xml:space="preserve">    Гайка М8</t>
  </si>
  <si>
    <t xml:space="preserve">    Гребенка распределительная для автоматов щитов 1/2/3/4 полюсн.</t>
  </si>
  <si>
    <t xml:space="preserve">    Заглушка торцевая ЗТ200х100</t>
  </si>
  <si>
    <t xml:space="preserve">    Зажим тросовый К676УЗ</t>
  </si>
  <si>
    <t xml:space="preserve">    Звонок на 220В со светодиодом и кнопка звонка 3В1</t>
  </si>
  <si>
    <t xml:space="preserve">    ИБП(UPS) INELT Intelligent 3000RT ,   с дополнительным аккумуляторным шкафом АКБ100 Ач</t>
  </si>
  <si>
    <t xml:space="preserve">    Кабель  канал 100*60 СКК101000601КО1</t>
  </si>
  <si>
    <t xml:space="preserve">    Кабель  канал 40*25 СКК100400251КО1</t>
  </si>
  <si>
    <t xml:space="preserve">    Кабель  канал 60х40 СКК100600401КО1</t>
  </si>
  <si>
    <t xml:space="preserve">    Кабель ВВГНГ FRLS1 5х 6</t>
  </si>
  <si>
    <t xml:space="preserve">    Кабель ВВГнг LS 3*2,50,66</t>
  </si>
  <si>
    <t xml:space="preserve">    Кабель ВВГнгFR LS 2*1,5 (2L)</t>
  </si>
  <si>
    <t xml:space="preserve">    Кабель ВВГнгFR LS 3*1,5 (L, N,PE)</t>
  </si>
  <si>
    <t xml:space="preserve">    Кабель ВВГнгFR LS 3*2,5 (L, N,PE)</t>
  </si>
  <si>
    <t xml:space="preserve">    Кабель ВВГнгFRLS 4*2,5 (L,N,PE)</t>
  </si>
  <si>
    <t xml:space="preserve">    Кабель ВВГнгFRLS1 3х 2,5</t>
  </si>
  <si>
    <t xml:space="preserve">    Кабель ВВГнгHF 3*2,50,66</t>
  </si>
  <si>
    <t xml:space="preserve">    Кабель ВВГнгHF 5*60,66</t>
  </si>
  <si>
    <t xml:space="preserve">    Кабель ВВГнгLS 1*2,50,66</t>
  </si>
  <si>
    <t xml:space="preserve">    Кабель ВВГнгLS 1*25</t>
  </si>
  <si>
    <t xml:space="preserve">    Кабель ВВГнгLS 1*40,66</t>
  </si>
  <si>
    <t xml:space="preserve">    Кабель ВВГнгLS 1*60,66</t>
  </si>
  <si>
    <t xml:space="preserve">    Кабель ВВГнгLS 2*1,5 (2L)</t>
  </si>
  <si>
    <t xml:space="preserve">    Кабель ВВГнгLS 2*1,50,66</t>
  </si>
  <si>
    <t xml:space="preserve">    Кабель ВВГнгLS 3*1,5 (3L)</t>
  </si>
  <si>
    <t xml:space="preserve">    Кабель ВВГнгLS 3*1,5 (L. N.PE)</t>
  </si>
  <si>
    <t xml:space="preserve">    Кабель ВВГнгLS 3*1,50,66</t>
  </si>
  <si>
    <t xml:space="preserve">    Кабель ВВГнгLS 3*2,5</t>
  </si>
  <si>
    <t xml:space="preserve">    Кабель ВВГнгLS 3*25</t>
  </si>
  <si>
    <t xml:space="preserve">    Кабель ВВГнгLS 3*40,66</t>
  </si>
  <si>
    <t xml:space="preserve">    Кабель ВВГнгLS 3*60,66</t>
  </si>
  <si>
    <t xml:space="preserve">    Кабель ВВГнгLS 4*2,50,66</t>
  </si>
  <si>
    <t xml:space="preserve">    Кабель ВВГнгLS 5*100,66</t>
  </si>
  <si>
    <t xml:space="preserve">    Кабель ВВГнгLS 5*16</t>
  </si>
  <si>
    <t xml:space="preserve">    Кабель ВВГнгLS 5*2,50,66</t>
  </si>
  <si>
    <t xml:space="preserve">    Кабель ВВГнгLS 5*25</t>
  </si>
  <si>
    <t xml:space="preserve">    Кабель ВВГнгLS 5*35</t>
  </si>
  <si>
    <t xml:space="preserve">    Кабель ВВГнгLS 5*40,66</t>
  </si>
  <si>
    <t xml:space="preserve">    Кабель ВВГнгLS 5*60,66</t>
  </si>
  <si>
    <t xml:space="preserve">    канал кабельный дл.2м 16х16</t>
  </si>
  <si>
    <t xml:space="preserve">    канал кабельный дл.2м 40х25</t>
  </si>
  <si>
    <t xml:space="preserve">    Клеммная колодка 12Р 32А</t>
  </si>
  <si>
    <t xml:space="preserve">    Консоль подвеса настенного КПН300</t>
  </si>
  <si>
    <t xml:space="preserve">    Консоль подвеса настенного КПН400</t>
  </si>
  <si>
    <t xml:space="preserve">    Консоль подвеса настенного КПН500</t>
  </si>
  <si>
    <t xml:space="preserve">    Коробка для установки выключателей, розеток</t>
  </si>
  <si>
    <t xml:space="preserve">    Коробка ответвительная IP65</t>
  </si>
  <si>
    <t xml:space="preserve">    Коробка ответвительная РЕ120013</t>
  </si>
  <si>
    <t xml:space="preserve">    Коробка ответвительная РЕ120015</t>
  </si>
  <si>
    <t xml:space="preserve">    Коробка ответвительная У409УХЛ</t>
  </si>
  <si>
    <t xml:space="preserve">    Крепление  светильника СМ330800 к профнастилу Vобразное, М8</t>
  </si>
  <si>
    <t xml:space="preserve">    Кронштейн   диам. 48мм, L=1310мм</t>
  </si>
  <si>
    <t xml:space="preserve">    Крышка к углу КУПТп200</t>
  </si>
  <si>
    <t xml:space="preserve">    Крышки к лотку КЛЗТ100пр</t>
  </si>
  <si>
    <t xml:space="preserve">    Крышки к лотку КЛЗТ200пр</t>
  </si>
  <si>
    <t xml:space="preserve">    Крышки к лотку КЛЗТ300пр</t>
  </si>
  <si>
    <t xml:space="preserve">    Лампа люминесцентная линейная 36Вт</t>
  </si>
  <si>
    <t xml:space="preserve">    Лоток "Остек" 100*50 мм, L=2,5м ЛПМЗТ(М)100пр б=1мм</t>
  </si>
  <si>
    <t xml:space="preserve">    Лоток "Остек" 200*100 мм, L=2,5м ЛПМЗТ200x100 HCT б=2мм</t>
  </si>
  <si>
    <t xml:space="preserve">    Лоток "Остек" 200*100 мм, L=2,5м ЛПМЗТ200x100пр б=1мм</t>
  </si>
  <si>
    <t xml:space="preserve">    Лоток "Остек" 300*100 мм, L=2,5м ЛПМЗТ300x100пр б=1мм</t>
  </si>
  <si>
    <t xml:space="preserve">    Металлорукав   Dу=25 мм</t>
  </si>
  <si>
    <t xml:space="preserve">    Металлорукав   Dу=40 мм</t>
  </si>
  <si>
    <t xml:space="preserve">    Муфта натяжной К800У3</t>
  </si>
  <si>
    <t xml:space="preserve">    Настенная планка подвеса НПП120</t>
  </si>
  <si>
    <t xml:space="preserve">    Перегородка лотка ПЛПТ100</t>
  </si>
  <si>
    <t xml:space="preserve">    Переход прямой левый ППЛ300х100</t>
  </si>
  <si>
    <t xml:space="preserve">    Переход прямой правый ППЛ300х200</t>
  </si>
  <si>
    <t xml:space="preserve">    Пиктограмма "Выход"</t>
  </si>
  <si>
    <t xml:space="preserve">    Поворот 900 КМП 100х60 мм СКК10DР100060КО1</t>
  </si>
  <si>
    <t xml:space="preserve">    Поворот 900 КМП 40х25 мм СКК10DР40025КО1</t>
  </si>
  <si>
    <t xml:space="preserve">    Поворот 900 КМП 60х40 мм СКК10DР60040КО1</t>
  </si>
  <si>
    <t xml:space="preserve">    Подвес модульный L=3v</t>
  </si>
  <si>
    <t xml:space="preserve">    Провод ПВ 1*2,5380</t>
  </si>
  <si>
    <t xml:space="preserve">    Провод ПВ 1*4380</t>
  </si>
  <si>
    <t xml:space="preserve">    Провод ПВЗ 10</t>
  </si>
  <si>
    <t xml:space="preserve">    Провод ПВЗ 16</t>
  </si>
  <si>
    <t xml:space="preserve">    Провод ПВЗ 2,5</t>
  </si>
  <si>
    <t xml:space="preserve">    Провод ПВЗ 4</t>
  </si>
  <si>
    <t xml:space="preserve">    Провод ПВЗ 6</t>
  </si>
  <si>
    <t xml:space="preserve">    Провод ПВЗ 95</t>
  </si>
  <si>
    <t xml:space="preserve">    Розетка 1 одноместная мех. блокировкой, откр. уст. ERS12KO31654 Dc</t>
  </si>
  <si>
    <t xml:space="preserve">    Розетка 2х местная мех. блокировкой, откр. уст. ERB21KO116 Dc</t>
  </si>
  <si>
    <t xml:space="preserve">    Розетка 2х местная мех. блокировкой, откр. уст. ERS22KO31654 Dc</t>
  </si>
  <si>
    <t xml:space="preserve">    Розетка 4х местная мех. блокировкой, откр. уст. ERB41KO116 Dc</t>
  </si>
  <si>
    <t xml:space="preserve">    Светильник OPL/S 236 2*36 ЛПО  IP 20</t>
  </si>
  <si>
    <t xml:space="preserve">    Светильник OPL/S 236ES1 2*36 ЛПО IP 20, с блоком аварийного питания</t>
  </si>
  <si>
    <t xml:space="preserve">    Светильник светодиодный ARCTIC LED1200, мощность 60 Вт, IP 65</t>
  </si>
  <si>
    <t xml:space="preserve">    Светильник светодиодный ARCTIC LED1200EM, мощность 60 Вт, IP 65 c блоком аварийного питания</t>
  </si>
  <si>
    <t xml:space="preserve">    Светильник светодиодный ARCTIC LED1500, мощность 75 Вт, IP 65</t>
  </si>
  <si>
    <t xml:space="preserve">    Светильник светодиодный ARCTIC LED1500ЕМ, мощность 75 Вт, IP 65, с блоком аварийного питания</t>
  </si>
  <si>
    <t xml:space="preserve">    Светильник светодиодный OPL/R LED 595, мощность 60 Вт, IP 20</t>
  </si>
  <si>
    <t xml:space="preserve">    Светильник со светодиодными лампами FLY NTK30 LED 4, мощность 112 Вт, IР65, консольный</t>
  </si>
  <si>
    <t xml:space="preserve">    Светильник со светодиодными лампами OPL/S LED 1200, потолочный, мощность 60 Вт, IP 20</t>
  </si>
  <si>
    <t xml:space="preserve">    Светильник со светодиодными лампами OWP LED 595, встраиваемый, мощность 60 Вт, IP 54</t>
  </si>
  <si>
    <t xml:space="preserve">    Светильник со светодиодными лампами RKL LED 1900, мощность 28 Вт, IР40</t>
  </si>
  <si>
    <t xml:space="preserve">    Светильник со светодиодными лампами STAR NBT16 LED 1900, мощность 16 Вт, IР65</t>
  </si>
  <si>
    <t xml:space="preserve">    Светильник со светодиодными лампами STAR NBT22 LED, мощность 22 Вт, IР65</t>
  </si>
  <si>
    <t xml:space="preserve">    Световой указатель с аккумуляторами URAN EFS353 LED, 3,6Вт, 220В.</t>
  </si>
  <si>
    <t xml:space="preserve">    Скоба внутренняя СВ200</t>
  </si>
  <si>
    <t xml:space="preserve">    Скоба для настенного крепления СН200</t>
  </si>
  <si>
    <t xml:space="preserve">    Соединитель на стык КМС 40х25мм СКК10DS40025КО1</t>
  </si>
  <si>
    <t xml:space="preserve">    Соединитель на стык КМС 60х40мм СКК10DS60040КО1</t>
  </si>
  <si>
    <t xml:space="preserve">    Соединитель на стык КМС100х60 мм СКК10DS100060КО1</t>
  </si>
  <si>
    <t xml:space="preserve">    Соединительная планка универсальная СПУ100</t>
  </si>
  <si>
    <t xml:space="preserve">    сталь сортовая разная</t>
  </si>
  <si>
    <t xml:space="preserve">    Тобразный угол КМТ 100х60 мм СКК10DT100060КО1</t>
  </si>
  <si>
    <t xml:space="preserve">    Тобразный угол КМТ 40х25 мм СКК10DT40025КО1</t>
  </si>
  <si>
    <t xml:space="preserve">    Тобразный угол КМТ 60х40 мм СКК10DT60040КО1</t>
  </si>
  <si>
    <t xml:space="preserve">    Трос стальной диам. 6мм</t>
  </si>
  <si>
    <t xml:space="preserve">    Труба гофрированная из полиамида D=20 мм.</t>
  </si>
  <si>
    <t xml:space="preserve">    Труба гофрированная из полиамида D=25 мм.</t>
  </si>
  <si>
    <t xml:space="preserve">    Труба гофрированная из полиамида D=40 мм.</t>
  </si>
  <si>
    <t xml:space="preserve">    Труба стальная водогазопр. Ду.=25 мм</t>
  </si>
  <si>
    <t xml:space="preserve">    Труба стальная водогазопр. Ду.=32 мм</t>
  </si>
  <si>
    <t xml:space="preserve">    Труба стальная водогазопр. Ду.=40 мм</t>
  </si>
  <si>
    <t xml:space="preserve">    труба стальная водогазопроводная 20х2,5</t>
  </si>
  <si>
    <t xml:space="preserve">    Угол плоский плавный УПТп200х100</t>
  </si>
  <si>
    <t xml:space="preserve">    Шайба усиленная ШМ6</t>
  </si>
  <si>
    <t xml:space="preserve">    Шкаф распределительный, навесной ЩРн121 36 УХЛ3</t>
  </si>
  <si>
    <t xml:space="preserve">    Шкаф распределительный, навесной ЩРн361 36 УХЛ3</t>
  </si>
  <si>
    <t xml:space="preserve">    ЩВ ЩРн48з136 УХЛ3 в сборе с выключателем нагрузки, расцепителями, пускателем и распределительными автоматами 9шт на динрейке</t>
  </si>
  <si>
    <t xml:space="preserve">    ЩК ЩРн24з136 УХЛ3 в сборе с выключателем нагрузки и распределительными автоматами 7шт на динрейке</t>
  </si>
  <si>
    <t xml:space="preserve">    ЩП ЩРн18з136 УХЛ3 в сборе с выключателем нагрузки, расцепителем и распределительными автоматами 2шт на динрейке</t>
  </si>
  <si>
    <t xml:space="preserve">    ЩР ЩРн36з136 УХЛ3 в сборе с выключателем нагрузки и распределительными автоматами 8шт на динрейке</t>
  </si>
  <si>
    <t xml:space="preserve">    ЩРА ЩРн3/18зо136 УХЛ3 в сборе с выключателем нагрузки, трёхфазным счётчиком, расцепителями и распределительными автоматами 4шт на динрейке</t>
  </si>
  <si>
    <t xml:space="preserve">    ЩС ЩРн36з136 УХЛ3 в сборе с выключателем нагрузки и распределительными автоматами 10шт на динрейке</t>
  </si>
  <si>
    <t xml:space="preserve">    ЩТП ЩРн18зо136 УХЛ3 в сборе с выключателем нагрузки, расцепителем и распределительными автоматами 2шт на динрейке</t>
  </si>
  <si>
    <t xml:space="preserve">    ЩХ ЩРн36з136 УХЛ3 в сборе с выключателем нагрузки, расцепителем и распределительными автоматами 7шт на динрейке</t>
  </si>
  <si>
    <t xml:space="preserve">    ЩХК ПР11305421УЗ в сборе с выключателем нагрузки и распределительными автоматами 4шт на динрейке</t>
  </si>
  <si>
    <t xml:space="preserve">    Ящик с распределительным трансформатором безопасности 220/12В ЯТП0,25</t>
  </si>
  <si>
    <t>Авто. Выкл. ВА 1011Р006С</t>
  </si>
  <si>
    <t>Авто. Выкл. ВА 1012Р006АС</t>
  </si>
  <si>
    <t>Авто. Выкл. ВА 1012Р010С</t>
  </si>
  <si>
    <t>Авто. Выкл. ВА 1012Р016С</t>
  </si>
  <si>
    <t>Авто. Выкл. ВА 1013Р025С</t>
  </si>
  <si>
    <t>Автоматический дифференциальный выключатель ДИФ1012P010А030С</t>
  </si>
  <si>
    <t>Анкерный зажим РА07300 для кабеля "8"7,3 Кн, диаметр тросса в оболочке до 7 мм</t>
  </si>
  <si>
    <t xml:space="preserve">Блок аварийного питания лампы ES1 658W СONVERSION KIT K303 </t>
  </si>
  <si>
    <t>Выключатель с/п 1кл. 6А Прима C16057б</t>
  </si>
  <si>
    <t>Выключатель с/п 2кл. 6А Прима C56043б</t>
  </si>
  <si>
    <t>Звонок громкого боя МЗМ1С 220AС 150мм серебристый</t>
  </si>
  <si>
    <t>Кабель ВВГнг(А)FRLS 2х1,5</t>
  </si>
  <si>
    <t>Кабель ВВГнг(А)FRLS 2х2,5</t>
  </si>
  <si>
    <t>Кабель ВВГнг(А)FRLS 3x2,5</t>
  </si>
  <si>
    <t xml:space="preserve">Кабель ВВГнг(А)LS 1х2,5 ж/з </t>
  </si>
  <si>
    <t>Кабель ВВГнг(А)LS 1х4</t>
  </si>
  <si>
    <t>Кабель ВВГнгLS 5х10</t>
  </si>
  <si>
    <t>Кабель ВВГнгLS 5х120</t>
  </si>
  <si>
    <t>Кабель ВВГнгLS 5х16</t>
  </si>
  <si>
    <t>Кабель ВВГнгLS 5х2,5</t>
  </si>
  <si>
    <t>Кабель ВВГнгLS 5х25</t>
  </si>
  <si>
    <t>Кабель ВВГнгLS 5х35</t>
  </si>
  <si>
    <t>Кабель ВВГнгLS 5х4</t>
  </si>
  <si>
    <t>Кабель ВВГнгLS 5х50</t>
  </si>
  <si>
    <t>Кабель ВВГнгLS 5х6</t>
  </si>
  <si>
    <t>Кабель ВВГнгLS 5х70</t>
  </si>
  <si>
    <t xml:space="preserve">Кабель ВВГПнг 3х2,5 </t>
  </si>
  <si>
    <t>Кабель ВВГПнгLS 2х2,5 (ГОСТ</t>
  </si>
  <si>
    <t xml:space="preserve">Кабель ВВГПнгLS 3х1,5 </t>
  </si>
  <si>
    <t>Кабель ВВГПнгLS 3х2,5 (ГОСТ)</t>
  </si>
  <si>
    <t>Кабель ВВГПнгLS 3х4</t>
  </si>
  <si>
    <t>Кабель ВВГПнгLS 3х6</t>
  </si>
  <si>
    <t>Кабель связи UTP 4х2х0.5 5Е</t>
  </si>
  <si>
    <t>Клемный зажим винтавой ЗВИ60 16 мм. 12 клемм</t>
  </si>
  <si>
    <t>Кнопка звонка о/у А10,4001 Вессен</t>
  </si>
  <si>
    <t>Контактор модульный КМ 4040 AC/DC</t>
  </si>
  <si>
    <t>Контактор модульный КМ2020 AC/DC ИЭК</t>
  </si>
  <si>
    <t>Контактор модульный МК (10125А 230V)24А 220V 2но+2нз</t>
  </si>
  <si>
    <t>кронштейн адаптер для светильника на бетонную стойку высота1 .5м вынос 1м, в грунте Марка К1П1,21,0.</t>
  </si>
  <si>
    <t>кронштейн адаптер для светильника на стену высота 1.5м вынос 1м, в грунте  Марка К1Н1,21,0.</t>
  </si>
  <si>
    <t>Лампа OS Dulux D 13W/21840 G24d1</t>
  </si>
  <si>
    <t>Лампа OS Dulux D 18W/21840 G24d2</t>
  </si>
  <si>
    <t>Лампа OS Dulux D 26W/21840 G24d3</t>
  </si>
  <si>
    <t>Лампа OS Dulux L 36W/21840 2G11</t>
  </si>
  <si>
    <t>Лампа OS Dulux S 9W/31830 G23</t>
  </si>
  <si>
    <t xml:space="preserve">Лампа OS L18W/10765 </t>
  </si>
  <si>
    <t xml:space="preserve">Лампа OS L36W/10765 </t>
  </si>
  <si>
    <t>Металлорукав РЗЦХ32 (25 м/уп.)</t>
  </si>
  <si>
    <t xml:space="preserve">Металлрукав РЗЦХ25 </t>
  </si>
  <si>
    <t>Переключатель о/п 1кл. 10А Рондо IP44 ВА610126Бби</t>
  </si>
  <si>
    <t>Провод ПВ3 2,5/ПуГВ 2,5</t>
  </si>
  <si>
    <t>Провод ПВ3 2,5/ПУГВ 2,5 голубой</t>
  </si>
  <si>
    <t>Провод ПВ3 2,5/ПуГВ 2,5 ж/з</t>
  </si>
  <si>
    <t>Провод ПВ3 4/ПуГВ 4</t>
  </si>
  <si>
    <t>Провод ПВ3 4/ПуГВ 4 голубой</t>
  </si>
  <si>
    <t>Провод ПВ3 4/ПуГВ 4 ж/з</t>
  </si>
  <si>
    <t>Провод ПВ3 6/ПуГВ 6</t>
  </si>
  <si>
    <t>Провод ПВ3 6/ПуГВ 6 голубой</t>
  </si>
  <si>
    <t>Провод ПВ3/ПуГВ 6 ж/з</t>
  </si>
  <si>
    <t>Пускатель ПМ12010260 380В (1з) РТТ5101, 8,50А</t>
  </si>
  <si>
    <t>Пускатель ПМ12025260 380В (1з) РТТ131, 25,0А</t>
  </si>
  <si>
    <t>Розетка о/п 1ая е/с з/шт Рондо IP44  РА16112Бби</t>
  </si>
  <si>
    <t>Розетка с/п 1ая 16А е/с з/шт Прима РС16004б</t>
  </si>
  <si>
    <t>Розетка с/п 2ая 16А е/с з/шт Прима РС16007б</t>
  </si>
  <si>
    <t>Саморегулирующийся нагревательный кабель SRL 302</t>
  </si>
  <si>
    <t>Светильник DLG 113 1х13Вт КЛЛ G24d1 IP44/IP20</t>
  </si>
  <si>
    <t>Светильник DLN 118 1х18Вт КЛЛ G24d2</t>
  </si>
  <si>
    <t>Светильник DLS 126 1х26Вт КЛЛ G24d3</t>
  </si>
  <si>
    <t>Светильник NBL 80  F126 G24d3  настенный  черный столбик</t>
  </si>
  <si>
    <t xml:space="preserve">Светильник NBT 31 F118 18Вт G24d2 IP65 настен черн </t>
  </si>
  <si>
    <t>Светодиодный светильник тип 1 (ДКУ13150/120)</t>
  </si>
  <si>
    <t>Светодиодный светильник тип 2 (ДКУ121100)</t>
  </si>
  <si>
    <t>Светодиодный светильник тип 3 (ДКУ13130/120)</t>
  </si>
  <si>
    <t>Сжим ответвительный(5070/435 мм. 2) y859</t>
  </si>
  <si>
    <t>Стартер Philips S10 465W 220240V</t>
  </si>
  <si>
    <t>Талреп т3001 Т(1)</t>
  </si>
  <si>
    <t>Термоусаживаемая трубка ТУТнг 40/20 синяя (50 м/ролл) TDM SQ05180097</t>
  </si>
  <si>
    <t>Труба стальная ВГП Ду 20х2,8 ГОСТ 326275</t>
  </si>
  <si>
    <t>Труба стальная ВГП Ду 25х3,2 ГОСТ 326275</t>
  </si>
  <si>
    <t>Труба стальная ВГП Ду 32х3,2 ГОСТ 326275</t>
  </si>
  <si>
    <t>Узел крепления несущий (УКН01)</t>
  </si>
  <si>
    <t>Устройство автоматического ввода резервного питания Ящик УАВРЯУ825112А2 УХЛ4</t>
  </si>
  <si>
    <t>Устройство защитного отключения ~380 В, 200 А, ПЗР 2 33200 А</t>
  </si>
  <si>
    <t>Шкаф управления 3х фазный 16кВт</t>
  </si>
  <si>
    <t>ШСВРУ1.1</t>
  </si>
  <si>
    <t>ШСВРУ1.2</t>
  </si>
  <si>
    <t>ШСВРУ2.1</t>
  </si>
  <si>
    <t>ШСВРУ2.2</t>
  </si>
  <si>
    <t>ШСВРУ3.1</t>
  </si>
  <si>
    <t>ШСВРУ9</t>
  </si>
  <si>
    <t>ЩРН12з (250х300х120)</t>
  </si>
  <si>
    <t>ЩРН12з (265х310х120)</t>
  </si>
  <si>
    <t>ЩРН24з (350х300х120)</t>
  </si>
  <si>
    <t>Ящик с понижающим трансформатором ЯТП0,25 220/242 36 УХЛ4 IP30</t>
  </si>
  <si>
    <t>ЩРн3/12зо136 УХЛ3 в сборе с выключателем нагрузки, однофазным счётчиком, расцепителями и распределительными автоматами 3шт на динрейке</t>
  </si>
  <si>
    <t>ЩРн3/18зо136 УХЛ3 в сборе с выключателем нагрузки, трёхфазным счётчиком, расцепителями и распределительными автоматами 4шт на динрейке</t>
  </si>
  <si>
    <t>Кранбалка 2 т</t>
  </si>
  <si>
    <t>кт</t>
  </si>
  <si>
    <t>Кабель ВВГнгls 1х150</t>
  </si>
  <si>
    <t>Кабель ВВГнгls 2х70</t>
  </si>
  <si>
    <t xml:space="preserve">    Счетчик горячей воды СГВ15 Ду15 (Бетар) с обратным клапаном</t>
  </si>
  <si>
    <t xml:space="preserve">    Отборное устройство прямое ЗК142198 УСТ1а</t>
  </si>
  <si>
    <t xml:space="preserve">    Фильтр сетчатый фланцевый чугунный Ду32мм (ФММ32)</t>
  </si>
  <si>
    <t xml:space="preserve">    Кран шаровый VALTEC 32мм х1", латунь</t>
  </si>
  <si>
    <t xml:space="preserve">    Клапан обратный латунный Ду32 пружинный муфтовый</t>
  </si>
  <si>
    <t xml:space="preserve">    Кран шаровый латунный Valtec, Ду 15 (муфтовый)</t>
  </si>
  <si>
    <t xml:space="preserve">    Кран 3х ход. с фланцем 11б38бк для манометра</t>
  </si>
  <si>
    <t xml:space="preserve">    Муфта переходная 32х15 оцинк.</t>
  </si>
  <si>
    <t xml:space="preserve">    Манометр радиальный MDR 50/6*1/4" (50 мм, 06 бар)</t>
  </si>
  <si>
    <t xml:space="preserve">    Пробка Ц15</t>
  </si>
  <si>
    <t>Теплосчетчик. Номер в Госреестре СИ № 4340909;Логика 8941Э1 с тепловычислителем_x000D_
СПТ941.10 и гильзами</t>
  </si>
  <si>
    <t xml:space="preserve">    Комплект термометров сопротивления платиновых, технических, разностных 100П, четырехпроводных, с поверкой Danfoss КТПТР011100</t>
  </si>
  <si>
    <t xml:space="preserve">    Преобразователь расхода ПРЭМ 20 ГС L0// Класс B1 с источниками питания</t>
  </si>
  <si>
    <t xml:space="preserve">    Источник питания ~220/ 12В; ТУ4354004465265362006 БП30БД312</t>
  </si>
  <si>
    <t xml:space="preserve">    Адаптер АПС45</t>
  </si>
  <si>
    <t xml:space="preserve">    Имитатор расходомера Ду20</t>
  </si>
  <si>
    <t xml:space="preserve">    Имитатор расходомера Ду32</t>
  </si>
  <si>
    <t xml:space="preserve">    Фланец стальной 13216</t>
  </si>
  <si>
    <t xml:space="preserve">    Переход К32х2,525х2,0</t>
  </si>
  <si>
    <t xml:space="preserve">    Выключатель автоматический двухполюсный Iн=1А, харка С,ВА47292р 1А</t>
  </si>
  <si>
    <t xml:space="preserve">    Щит учета ЩУ, состоящий из шкафа металлического размером 350х466х170 (21НIP31)</t>
  </si>
  <si>
    <t xml:space="preserve">    Провод ПЩ 4,0 мм2</t>
  </si>
  <si>
    <t xml:space="preserve">    Кабель медный экранированный КММ 4х0,35</t>
  </si>
  <si>
    <t xml:space="preserve">    Кабель медный экранированный КММ 2х0,35</t>
  </si>
  <si>
    <t xml:space="preserve">    Кабель ШВВП 2х0,5</t>
  </si>
  <si>
    <t xml:space="preserve">    Кабель ВВГНГ3*2.5</t>
  </si>
  <si>
    <t xml:space="preserve">    Гофротруба.с протяж.d20</t>
  </si>
  <si>
    <t xml:space="preserve">    Гофротруба.с протяж.d25</t>
  </si>
  <si>
    <t xml:space="preserve">    КВВГЭ 4х1,0</t>
  </si>
  <si>
    <t xml:space="preserve">    КВВГ4х1,0</t>
  </si>
  <si>
    <t xml:space="preserve">    Металлорукав O18мм РЗЦХШ18</t>
  </si>
  <si>
    <t xml:space="preserve">    Манометр с радиальным штуцером без фланца, с диапазоном: 0...4 кгс/см? МП3У4.2,5Р</t>
  </si>
  <si>
    <t xml:space="preserve">    Термоманометр ТМТБ4 Р.1 Предел измерений: 0...150 гр.С / 0...2,5 мПа с радиальным штуцером Ду100мм</t>
  </si>
  <si>
    <t xml:space="preserve">    Термоманометр ТМТБ4 Т.1 Предел измерений: 0...120 гр.С / 0...2,5 мПа с осевым штуцером Ду100мм</t>
  </si>
  <si>
    <t xml:space="preserve">    Отборное устройство У1а ЗК142102</t>
  </si>
  <si>
    <t xml:space="preserve">    Отборное устройство У1а ЗК142202</t>
  </si>
  <si>
    <t xml:space="preserve">    Датчик защиты от сухого хода WMS.3/4" DE</t>
  </si>
  <si>
    <t xml:space="preserve">    Датчик температуры, погружной, Рt 1000, 100мм,	ESMU		Фирма Danfoss	шт	2		_x000D_
			нержавеющая сталь,  диапазон температуры  0 …140?С,	(кодовый номер</t>
  </si>
  <si>
    <t xml:space="preserve">    Датчик температуры наружного воздуха ESMT</t>
  </si>
  <si>
    <t xml:space="preserve">    Прибор управления, контроля и защиты насосов WILO SK712</t>
  </si>
  <si>
    <t xml:space="preserve">    Гильза 100мм для датчика ESMU, Danfos</t>
  </si>
  <si>
    <t xml:space="preserve">    Прибор управления Wilo SK712/d215 (30A)</t>
  </si>
  <si>
    <t xml:space="preserve">    КВВГНГFRLS4*1.5</t>
  </si>
  <si>
    <t xml:space="preserve">    КВВГНГFRLS7*1.5</t>
  </si>
  <si>
    <t xml:space="preserve">    Провод ПВС 2х0,75</t>
  </si>
  <si>
    <t xml:space="preserve">    Провод ПВС 3х0,75</t>
  </si>
  <si>
    <t xml:space="preserve">    Провод ПВС 4х0,75</t>
  </si>
  <si>
    <t xml:space="preserve">    Провод МКЭШ  2х0,75</t>
  </si>
  <si>
    <t xml:space="preserve">    Кабель UTP 4x2x0,5</t>
  </si>
  <si>
    <t xml:space="preserve">    Кабель ВВГ 3х 1,5</t>
  </si>
  <si>
    <t xml:space="preserve">    Кабель ВВГНГLS 4х 1,5</t>
  </si>
  <si>
    <t xml:space="preserve">    Кабель ВВГнгFRLS 3х1,5</t>
  </si>
  <si>
    <t xml:space="preserve">    Гофротруба.с протяж.d16</t>
  </si>
  <si>
    <t xml:space="preserve">    Кабельканал ЭЛЕКОР 25*25мм</t>
  </si>
  <si>
    <t xml:space="preserve">    Лоток перф.100*50 ПРЛПМЗТ100</t>
  </si>
  <si>
    <t xml:space="preserve">    Термометр биметалический  ТБП 100/100Р(0…120 С) 2,5М20</t>
  </si>
  <si>
    <t xml:space="preserve">    Термометр биметалический  ТБП 100/100(0…120 С) 2,5М20</t>
  </si>
  <si>
    <t xml:space="preserve">    Манометр МП100М (металлический корпус), пределы измерений 01.0/1.6Мпа</t>
  </si>
  <si>
    <t xml:space="preserve">    Датчик  температуры  воды  накладной РТ1000</t>
  </si>
  <si>
    <t xml:space="preserve">    Датчик  температуры  воды  канальный РТ1000</t>
  </si>
  <si>
    <t xml:space="preserve">    Термостат  защиты  от  замерзания	ТFR3</t>
  </si>
  <si>
    <t xml:space="preserve">    Дифференциальный  датчик  давления РS 500</t>
  </si>
  <si>
    <t xml:space="preserve">    Дистанционный  пульт  управления  ПУД ( в  комплекте  переключатель,  лампа  зеленая  220В)</t>
  </si>
  <si>
    <t xml:space="preserve">    ЩУ20,26</t>
  </si>
  <si>
    <t xml:space="preserve">    Щит распределения встраиваемый пластиковй на 36 модулей прозраяная дверь белый UNIBOX</t>
  </si>
  <si>
    <t xml:space="preserve">    Щит  ЩА1,  состоящий  из  щита  с  монтажной панелью  ЩМП1074 У2, IP54,  395x310x220мм, ИЭК</t>
  </si>
  <si>
    <t xml:space="preserve">    Пост  кнопочный,  «Ц»,  «Ч»,  1з,  «Пуск», IP54 ПКЕ 2221У2</t>
  </si>
  <si>
    <t xml:space="preserve">    Центральный  блок  управления  дымоудалением Е260 N 8/1 C  ИБП  на  72часа,  Imax=7,5A «GEZE»</t>
  </si>
  <si>
    <t xml:space="preserve">    Кнопка аварийная пожарная RWA Taster FT4/24 V DC VdS (GEZE) 099561</t>
  </si>
  <si>
    <t xml:space="preserve">    Клавиша проветривания AS500 LTA24</t>
  </si>
  <si>
    <t xml:space="preserve">    Штоковой  привод, выход  штока  1000мм,  усилие	Е250/24 VDC 750N, 0,8A,  класс  защиты  IP 65,  цвет EV1 «GEZE»  (анодированный  ALU) Германия температуры  0 …140?С</t>
  </si>
  <si>
    <t xml:space="preserve">    Универсальная  консоль  для  открытия  наружу/вовнутрь</t>
  </si>
  <si>
    <t xml:space="preserve">    Клипсадержатель с защ.16</t>
  </si>
  <si>
    <r>
      <t xml:space="preserve">Хомут на ножке нерж AISI 304 </t>
    </r>
    <r>
      <rPr>
        <sz val="10"/>
        <rFont val="Calibri"/>
        <family val="2"/>
        <charset val="204"/>
      </rPr>
      <t>Ø</t>
    </r>
    <r>
      <rPr>
        <sz val="10"/>
        <rFont val="Arial"/>
        <family val="2"/>
        <charset val="204"/>
      </rPr>
      <t xml:space="preserve"> 28</t>
    </r>
  </si>
  <si>
    <r>
      <t xml:space="preserve">Хомут на ножке нерж AISI 304 </t>
    </r>
    <r>
      <rPr>
        <sz val="10"/>
        <rFont val="Calibri"/>
        <family val="2"/>
        <charset val="204"/>
      </rPr>
      <t>Ø</t>
    </r>
    <r>
      <rPr>
        <sz val="10"/>
        <rFont val="Arial"/>
        <family val="2"/>
        <charset val="204"/>
      </rPr>
      <t xml:space="preserve"> 85</t>
    </r>
  </si>
  <si>
    <t xml:space="preserve">   - Шкаф ШРМ-2-2для размещения муфт и запасов ОК 0,4х0,9х0,3</t>
  </si>
  <si>
    <t xml:space="preserve">   - Муфта МОГ-СПЛИТ/252-22-1КТ3645</t>
  </si>
  <si>
    <t xml:space="preserve">   - Скоба для крепления трубы</t>
  </si>
  <si>
    <t xml:space="preserve">   - Розетка абоненская ШКОН-ПА-1</t>
  </si>
  <si>
    <t xml:space="preserve">   - Радиоприемник Лира РП-248-1</t>
  </si>
  <si>
    <t xml:space="preserve">   - Металлорукав РЗ-ЦХ 32мм</t>
  </si>
  <si>
    <t xml:space="preserve">   - Кабель оптоволоконный ДПТс-П-24А-3,5кН</t>
  </si>
  <si>
    <t xml:space="preserve">   - Кабель оптоволоконный ДПО-П-24А-2,7кН</t>
  </si>
  <si>
    <t xml:space="preserve">   - Труба гофрированная ПНД ф25</t>
  </si>
  <si>
    <t xml:space="preserve">   - Кабель Verticasa DropCable1Fo K1M LSOH</t>
  </si>
  <si>
    <t xml:space="preserve">   - Кабель-канал ТА-ЕN 25х30мм</t>
  </si>
  <si>
    <t xml:space="preserve">   - Клипса д/труб металлорукава</t>
  </si>
  <si>
    <t>уп</t>
  </si>
  <si>
    <t xml:space="preserve">   - Дюбель-гвоздь</t>
  </si>
  <si>
    <t xml:space="preserve">    ВВГнгLS 5х35 Кабель</t>
  </si>
  <si>
    <t xml:space="preserve">    ВВГнгLS 1х95 Кабель</t>
  </si>
  <si>
    <t xml:space="preserve">    ВВГнгLS 5х16 Кабель</t>
  </si>
  <si>
    <t xml:space="preserve">    ВВГнгLS 5х10 Кабель</t>
  </si>
  <si>
    <t xml:space="preserve">    ВВГнгLS 5х6 Кабель</t>
  </si>
  <si>
    <t xml:space="preserve">    Кабель ВВГнгFRLS 5х6</t>
  </si>
  <si>
    <t xml:space="preserve">    ППГнгHF 5х6</t>
  </si>
  <si>
    <t xml:space="preserve">    ВВГнгLS 5х4 Кабель</t>
  </si>
  <si>
    <t xml:space="preserve">    ВВГнгLS 3х6  Кабель</t>
  </si>
  <si>
    <t xml:space="preserve">    ВВГнгLS 3х4 Кабель</t>
  </si>
  <si>
    <t xml:space="preserve">    ВВГнгLS 4х2,5 Кабель</t>
  </si>
  <si>
    <t xml:space="preserve">    ВВГнгFRLS 4*2.5</t>
  </si>
  <si>
    <t xml:space="preserve">    ВВГнгFRLS 3*2.5</t>
  </si>
  <si>
    <t xml:space="preserve">    ВВГнгLS 3х2,5 Кабель</t>
  </si>
  <si>
    <t xml:space="preserve">    ППГнгHF 3х2,5</t>
  </si>
  <si>
    <t xml:space="preserve">    ВВГнгLS 4х1,5 Кабель</t>
  </si>
  <si>
    <t xml:space="preserve">    ВВГнгFRLS 3*1.5</t>
  </si>
  <si>
    <t xml:space="preserve">    ВВГнгLS 3х1,5 Кабель</t>
  </si>
  <si>
    <t xml:space="preserve">    ВВГнгFRLS 2*1.5</t>
  </si>
  <si>
    <t xml:space="preserve">    ВВГнгLS 2х1,5 Кабель</t>
  </si>
  <si>
    <t xml:space="preserve">    ВВГнгLS 1х6 Кабель</t>
  </si>
  <si>
    <t xml:space="preserve">    ВВГнгLS 1х4 Кабель</t>
  </si>
  <si>
    <t xml:space="preserve">    ВВГнгLS 1х2,5 Кабель</t>
  </si>
  <si>
    <t xml:space="preserve">    ВВГнгLS 1х25 Кабель</t>
  </si>
  <si>
    <t xml:space="preserve">    ПВ3 1х4 белый Провод</t>
  </si>
  <si>
    <t xml:space="preserve">    ПВ3 1х6 белый Провод</t>
  </si>
  <si>
    <t xml:space="preserve">    ПВ3 1х10 белый Провод</t>
  </si>
  <si>
    <t xml:space="preserve">    ПВ3 1х16 белый Провод</t>
  </si>
  <si>
    <t xml:space="preserve">    ПВ3 1х95 синий Провод</t>
  </si>
  <si>
    <t xml:space="preserve">    ПВ3 1х95 ж/зел Провод</t>
  </si>
  <si>
    <t xml:space="preserve">    ПВ3 1х95 белый Провод</t>
  </si>
  <si>
    <t xml:space="preserve">    ПВ3 1х2,5 белый Провод</t>
  </si>
  <si>
    <t xml:space="preserve">    Трос стальной д.6мм</t>
  </si>
  <si>
    <t xml:space="preserve">    Кабельканал  100х60 "ЭЛЕКОР"</t>
  </si>
  <si>
    <t xml:space="preserve">    ПЛПТ100 ОSTEC Перегородка в трубчатый лоток В100мм (длина 2,5м)</t>
  </si>
  <si>
    <t xml:space="preserve">    Крышка лотка SPLК 300x2500 (0,7)</t>
  </si>
  <si>
    <t xml:space="preserve">    Крышка лотка SPLК 200x2500 (0,7)</t>
  </si>
  <si>
    <t xml:space="preserve">    Крышка лотка SPLК 100x2500 (0,6)</t>
  </si>
  <si>
    <t xml:space="preserve">    Подложка лотка перфорированного SPLP 200x100x2500 (1,2)</t>
  </si>
  <si>
    <t xml:space="preserve">    Подложка лотка перфорированного SPLP 300x100x2500 (0,7)</t>
  </si>
  <si>
    <t xml:space="preserve">    Подложка лотка перфорированного SPLP 200x100x2500 (0,7)</t>
  </si>
  <si>
    <t xml:space="preserve">    Подложка лотка перфорированного SPLP 100x50x2500 (0,7)</t>
  </si>
  <si>
    <t xml:space="preserve">    Металлорукав Р3ЦХ 25 (50м)</t>
  </si>
  <si>
    <t xml:space="preserve">    Труба гофр. ПВХ d 20 с зондом (100 м )</t>
  </si>
  <si>
    <t xml:space="preserve">    Труба гофр.ПВХ d 40 с зондом (15м)</t>
  </si>
  <si>
    <t xml:space="preserve">    Труба гофр. ПВХ d 25 с зондом (50м)</t>
  </si>
  <si>
    <t xml:space="preserve">    Труба гофр 90940 д.40мм</t>
  </si>
  <si>
    <t xml:space="preserve">    Труба гофр 90920 д.20мм</t>
  </si>
  <si>
    <t xml:space="preserve">    Труба стальная д.40 оцинков</t>
  </si>
  <si>
    <t xml:space="preserve">    Труба стальная д.32 оцинков</t>
  </si>
  <si>
    <t xml:space="preserve">    Труба стальная д.25 оцинков</t>
  </si>
  <si>
    <t xml:space="preserve">    Труба стальн д.20</t>
  </si>
  <si>
    <t xml:space="preserve">    ЩАО</t>
  </si>
  <si>
    <t xml:space="preserve">    ЩП</t>
  </si>
  <si>
    <t xml:space="preserve">    ЯТП0.25 24В</t>
  </si>
  <si>
    <t xml:space="preserve">    ЩТП</t>
  </si>
  <si>
    <t xml:space="preserve">    ЩО</t>
  </si>
  <si>
    <t xml:space="preserve">    ЩХК</t>
  </si>
  <si>
    <t xml:space="preserve">    ЩК</t>
  </si>
  <si>
    <t xml:space="preserve">    ЩРА</t>
  </si>
  <si>
    <t xml:space="preserve">    ЩР</t>
  </si>
  <si>
    <t xml:space="preserve">    1ЩА</t>
  </si>
  <si>
    <t xml:space="preserve">    ЩС</t>
  </si>
  <si>
    <t xml:space="preserve">    ЩХ</t>
  </si>
  <si>
    <t xml:space="preserve">    ИБП 500LT2</t>
  </si>
  <si>
    <t xml:space="preserve">    2ЩА, 3ЩА,4ЩА</t>
  </si>
  <si>
    <t xml:space="preserve">    ЩВ</t>
  </si>
  <si>
    <t xml:space="preserve">    ПЗР 2 33200</t>
  </si>
  <si>
    <t xml:space="preserve">    Шкаф ВРУ (ЩШ)</t>
  </si>
  <si>
    <t xml:space="preserve">    ПЭУ 010 " Выход"</t>
  </si>
  <si>
    <t xml:space="preserve">    URAN EFS350 LED Светильник</t>
  </si>
  <si>
    <t xml:space="preserve">    NBT 22 F226 (чёрный) Светильник</t>
  </si>
  <si>
    <t xml:space="preserve">    NBT 17 F123 (серебристый) Светильник</t>
  </si>
  <si>
    <t xml:space="preserve">    FLY NTK 30 LED 4 cold white Светильник</t>
  </si>
  <si>
    <t xml:space="preserve">    RKL LED 1900 Cветильник</t>
  </si>
  <si>
    <t xml:space="preserve">    OPL/S ECO LED 1200 Светильник</t>
  </si>
  <si>
    <t xml:space="preserve">    OWP LED 595 Светильник</t>
  </si>
  <si>
    <t xml:space="preserve">    1500 ARCTIC LED Светильник</t>
  </si>
  <si>
    <t xml:space="preserve">    1200 ARCTIC LED Светильник</t>
  </si>
  <si>
    <t xml:space="preserve">    OPL/R ECO LED 595 4000К Светильник</t>
  </si>
  <si>
    <t xml:space="preserve">    Выключатель ОП 1кл IP43</t>
  </si>
  <si>
    <t xml:space="preserve">    Выключатель ОП 2кл IP43</t>
  </si>
  <si>
    <t xml:space="preserve">    Выключатель СП 1кл</t>
  </si>
  <si>
    <t xml:space="preserve">    Выключатель СП 2кл</t>
  </si>
  <si>
    <t xml:space="preserve">    Евророзетка 4ОП с защ.шторками "Пралеска" РА16278</t>
  </si>
  <si>
    <t xml:space="preserve">    Евророзетка 2 ОП с з/шт. "Прима" Белый</t>
  </si>
  <si>
    <t xml:space="preserve">    Евророзетка 2ОП ПГ IP54 серия "ФОРС" РСб223ФСр</t>
  </si>
  <si>
    <t xml:space="preserve">    Евророзетка 1ОП ПГ IP54 серия "ФОРС" РСб203ФСр</t>
  </si>
  <si>
    <t>Сталь сортовая</t>
  </si>
  <si>
    <t xml:space="preserve">    Кронштейн</t>
  </si>
  <si>
    <t xml:space="preserve">    Шпилька М8*1000</t>
  </si>
  <si>
    <t xml:space="preserve">    Срепление к профнастилу</t>
  </si>
  <si>
    <t xml:space="preserve">    Кабканал 16*16</t>
  </si>
  <si>
    <t xml:space="preserve">    Зажим трос К676</t>
  </si>
  <si>
    <t xml:space="preserve">    Муфта натяжная К804</t>
  </si>
  <si>
    <t xml:space="preserve">    Анкер К675</t>
  </si>
  <si>
    <t xml:space="preserve">    Коробка распр РЕ100080</t>
  </si>
  <si>
    <t xml:space="preserve">    Коробка установочная для розет</t>
  </si>
  <si>
    <t xml:space="preserve">    Коробка У409</t>
  </si>
  <si>
    <t xml:space="preserve">    Комплект крепления Arctic /2/ на трос</t>
  </si>
  <si>
    <t xml:space="preserve">    Коробка ОП 3х рожк. карболитовая с/ф герметич. КЭМ1103 (72мм)</t>
  </si>
  <si>
    <t xml:space="preserve">    Зажим винтовой  ЗВИ 30 616мм2 12пар/30А ИЭК</t>
  </si>
  <si>
    <t xml:space="preserve">    Соединитель на стык КМС 40х25   "ЭЛЕКОР"</t>
  </si>
  <si>
    <t xml:space="preserve">    Соединитель на стык КМС 60х40   "ЭЛЕКОР"</t>
  </si>
  <si>
    <t xml:space="preserve">    Поворот 90 гр. КМП 40х25   "ЭЛЕКОР"</t>
  </si>
  <si>
    <t xml:space="preserve">    Поворот 90 гр. КМП 60х40   "ЭЛЕКОР"</t>
  </si>
  <si>
    <t xml:space="preserve">    Внешний угол КМН 40х25   "ЭЛЕКОР"</t>
  </si>
  <si>
    <t xml:space="preserve">    Внутренний угол КМВ 40х25   "ЭЛЕКОР"</t>
  </si>
  <si>
    <t xml:space="preserve">    Внутренний угол КМВ 60х40   "ЭЛЕКОР"</t>
  </si>
  <si>
    <t xml:space="preserve">    Тобразный угол КМТ 40х25   "ЭЛЕКОР"</t>
  </si>
  <si>
    <t xml:space="preserve">    Тобразный угол КМТ 60х40   "ЭЛЕКОР"</t>
  </si>
  <si>
    <t xml:space="preserve">    Кабельканал 40х25 "ЭЛЕКОР" (24 м)</t>
  </si>
  <si>
    <t xml:space="preserve">    Кабельканал 60х40 "ЭЛЕКОР" (18 м)</t>
  </si>
  <si>
    <t xml:space="preserve">    Соединитель на стык КМС 100х60   "ЭЛЕКОР"</t>
  </si>
  <si>
    <t xml:space="preserve">    Поворот 90 гр. КМП 100х60   "ЭЛЕКОР"</t>
  </si>
  <si>
    <t xml:space="preserve">    Внутренний угол КМВ 100х60   "ЭЛЕКОР"</t>
  </si>
  <si>
    <t xml:space="preserve">    Тобразный угол КМТ 100х60   "ЭЛЕКОР"</t>
  </si>
  <si>
    <t xml:space="preserve">    СН200 OSTEC Скоба для настенного крепления 200 мм</t>
  </si>
  <si>
    <t xml:space="preserve">    СППУ100 OSTEC Сподвес потолочный усиленный 100мм</t>
  </si>
  <si>
    <t xml:space="preserve">    КПН500 OSTEC Консоль подвеса 500мм</t>
  </si>
  <si>
    <t xml:space="preserve">    КПН400 OSTEC Консоль подвеса 400мм</t>
  </si>
  <si>
    <t xml:space="preserve">    КПН300 OSTEC Консоль подвеса 300мм</t>
  </si>
  <si>
    <t xml:space="preserve">    НПП 120 OSTEC Настенная планка подвеса 120мм</t>
  </si>
  <si>
    <t xml:space="preserve">    СПУ100 OSTEC Соединительная планка универсальная для лотка h 100 1,5 мм</t>
  </si>
  <si>
    <t xml:space="preserve">    СВ200 OSTEC Скоба внутренняя 200 мм</t>
  </si>
  <si>
    <t xml:space="preserve">    Заглушка 200х100</t>
  </si>
  <si>
    <t xml:space="preserve">    Переход прямой правый SPLPU 300х100 на 200х100 с крышкой</t>
  </si>
  <si>
    <t xml:space="preserve">    Переход прямой левый SPLPU 300х100 на 100х100 с крышкой</t>
  </si>
  <si>
    <t xml:space="preserve">    Крышка на угол плоский 90° плавный K SPUP 200</t>
  </si>
  <si>
    <t xml:space="preserve">    Угол плавный плоский 90° SPUP 200х100</t>
  </si>
  <si>
    <t xml:space="preserve">    Кнопка звонковая Wessen</t>
  </si>
  <si>
    <t xml:space="preserve">    Звонок электрический "зуммер" /с кнопкой/ Чебоксары ЭВ220</t>
  </si>
  <si>
    <t>Винтовые сваи диам.114мм L=2,5м.</t>
  </si>
  <si>
    <t>Буроям</t>
  </si>
  <si>
    <t>Модули</t>
  </si>
  <si>
    <t>Винтовые сваи диам.114мм L=3,5м.</t>
  </si>
  <si>
    <t>Винтовые сваи диам.76мм L=2,5м.</t>
  </si>
  <si>
    <t>Винтовые сваи диам.76мм L=3,5м.</t>
  </si>
  <si>
    <t>Полный модуль, 6,229х2,434м, б=100мм</t>
  </si>
  <si>
    <t>Модуль без 1 длинной стороны, 6,229х2,434м, б=100мм</t>
  </si>
  <si>
    <t>Модуль без 1 короткой стороны, 6,229х2,434м, б=100мм</t>
  </si>
  <si>
    <t>Модуль без 2 длинных сторон, 6,229х2,434м, б=100мм</t>
  </si>
  <si>
    <t>Модуль без 2 коротких сторон, 6,229х2,434м, б=100мм</t>
  </si>
  <si>
    <t>Модуль без 1 длинной и 1короткой стороны, 6,229х2,434м, б=100мм</t>
  </si>
  <si>
    <t>Модуль без 2 длинных и 1короткой стороны, 6,229х2,434м, б=100мм</t>
  </si>
  <si>
    <t>Модуль без 2 коротких и 1длинной стороны, 6,229х2,434м, б=100мм</t>
  </si>
  <si>
    <t>к-т</t>
  </si>
  <si>
    <t>Полный модуль, 6,229х2,434м, б=150мм</t>
  </si>
  <si>
    <t>Модуль без 1 длинной стороны, 6,229х2,434м, б=150мм</t>
  </si>
  <si>
    <t>Модуль без 1 короткой стороны, 6,229х2,434м, б=150мм</t>
  </si>
  <si>
    <t>Модуль без 2 длинных сторон, 6,229х2,434м, б=150мм</t>
  </si>
  <si>
    <t>Модуль без 2 коротких сторон, 6,229х2,434м, б=150мм</t>
  </si>
  <si>
    <t>Модуль без 1 длинной и 1короткой стороны, 6,229х2,434м, б=150мм</t>
  </si>
  <si>
    <t>Модуль без 2 длинных и 1короткой стороны, 6,229х2,434м, б=150мм</t>
  </si>
  <si>
    <t>Модуль без 2 коротких и 1длинной стороны, 6,229х2,434м, б=150мм</t>
  </si>
  <si>
    <t>Модуль без 1 длинной стороны, 6,229х2,434м, б=200мм</t>
  </si>
  <si>
    <t>Модуль без 1 короткой стороны, 6,229х2,434м, б=200мм</t>
  </si>
  <si>
    <t>Модуль без 2 длинных сторон, 6,229х2,434м, б=200мм</t>
  </si>
  <si>
    <t>Модуль без 2 коротких сторон, 6,229х2,434м, б=200мм</t>
  </si>
  <si>
    <t>Модуль без 1 длинной и 1короткой стороны, 6,229х2,434м, б=200мм</t>
  </si>
  <si>
    <t>Модуль без 2 длинных и 1короткой стороны, 6,229х2,434м, б=200мм</t>
  </si>
  <si>
    <t>Модуль без 2 коротких и 1длинной стороны, 6,229х2,434м, б=200мм</t>
  </si>
  <si>
    <t>Полный модуль, 6,229х2,434м, б=200мм</t>
  </si>
  <si>
    <t>Кассета кровли, б=100мм</t>
  </si>
  <si>
    <t>Кассета пола, б=100мм</t>
  </si>
  <si>
    <t>Тамбур 2*2м, б=100мм</t>
  </si>
  <si>
    <t>Тамбур 2*1,5м, б=100мм</t>
  </si>
  <si>
    <t>Кассета кровли, б=150мм</t>
  </si>
  <si>
    <t>Кассета пола, б=150мм</t>
  </si>
  <si>
    <t>Тамбур 2*2м, б=150мм</t>
  </si>
  <si>
    <t>Тамбур 2*1,5м, б=150мм</t>
  </si>
  <si>
    <t>Кассета кровли, б=200мм</t>
  </si>
  <si>
    <t>Кассета пола, б=200мм</t>
  </si>
  <si>
    <t>Тамбур 2*2м, б=200мм</t>
  </si>
  <si>
    <t>Тамбур 2*1,5м, б=200мм</t>
  </si>
  <si>
    <t>Полный модуль, 6,229х2,434м, б=250мм</t>
  </si>
  <si>
    <t>Модуль без 1 длинной стороны, 6,229х2,434м, б=250мм</t>
  </si>
  <si>
    <t>Модуль без 1 короткой стороны, 6,229х2,434м, б=250мм</t>
  </si>
  <si>
    <t>Модуль без 2 длинных сторон, 6,229х2,434м, б=250мм</t>
  </si>
  <si>
    <t>Модуль без 2 коротких сторон, 6,229х2,434м, б=250мм</t>
  </si>
  <si>
    <t>Модуль без 1 длинной и 1короткой стороны, 6,229х2,434м, б=250мм</t>
  </si>
  <si>
    <t>Модуль без 2 длинных и 1короткой стороны, 6,229х2,434м, б=250мм</t>
  </si>
  <si>
    <t>Модуль без 2 коротких и 1длинной стороны, 6,229х2,434м, б=250мм</t>
  </si>
  <si>
    <t>Кассета кровли, б=250мм</t>
  </si>
  <si>
    <t>Кассета пола, б=250мм</t>
  </si>
  <si>
    <t>Тамбур 2*2м, б=250мм</t>
  </si>
  <si>
    <t>Тамбур 2*1,5м, б=250мм</t>
  </si>
  <si>
    <t>Полный модуль, 6,229х2,434м, 200/300/250</t>
  </si>
  <si>
    <t>Модуль без 1 длинной стороны, 6,229х2,434м, 200/300/250</t>
  </si>
  <si>
    <t>Модуль без 1 короткой стороны, 6,229х2,434м, 200/300/250</t>
  </si>
  <si>
    <t>Модуль без 2 длинных сторон, 6,229х2,434м, 200/300/250</t>
  </si>
  <si>
    <t>Модуль без 2 коротких сторон, 6,229х2,434м, 200/300/250</t>
  </si>
  <si>
    <t>Модуль без 1 длинной и 1короткой стороны, 6,229х2,434м, 200/300/250</t>
  </si>
  <si>
    <t>Модуль без 2 длинных и 1короткой стороны, 6,229х2,434м, 200/300/250</t>
  </si>
  <si>
    <t>Модуль без 2 коротких и 1длинной стороны, 6,229х2,434м, 200/300/250</t>
  </si>
  <si>
    <t>Тамбур 2*2м, 200/300/250</t>
  </si>
  <si>
    <t>Тамбур 2*1,5м, 200/300/250</t>
  </si>
  <si>
    <t>Кассета кровли, б=300мм</t>
  </si>
  <si>
    <t>Полный модуль, 6,229х2,434м, 150/200/200</t>
  </si>
  <si>
    <t>Модуль без 1 длинной стороны, 6,229х2,434м, 150/200/200</t>
  </si>
  <si>
    <t>Модуль без 1 короткой стороны, 6,229х2,434м, 150/200/200</t>
  </si>
  <si>
    <t>Модуль без 2 длинных сторон, 6,229х2,434м, 150/200/200</t>
  </si>
  <si>
    <t>Модуль без 2 коротких сторон, 6,229х2,434м, 150/200/200</t>
  </si>
  <si>
    <t>Модуль без 1 длинной и 1короткой стороны, 6,229х2,434м, 150/200/200</t>
  </si>
  <si>
    <t>Модуль без 2 длинных и 1короткой стороны, 6,229х2,434м, 150/200/200</t>
  </si>
  <si>
    <t>Модуль без 2 коротких и 1длинной стороны, 6,229х2,434м, 150/200/200</t>
  </si>
  <si>
    <t>Сборка СРМ</t>
  </si>
  <si>
    <t>Монтаж первого этажа здания</t>
  </si>
  <si>
    <t>Монтаж второго и третьего этажа здания</t>
  </si>
  <si>
    <t>Эксплуатация автокрана</t>
  </si>
  <si>
    <t>маш-час</t>
  </si>
  <si>
    <t>Профлист Н44</t>
  </si>
  <si>
    <t>Монтаж кровли (двухскатная)</t>
  </si>
  <si>
    <t>Водосток</t>
  </si>
  <si>
    <t>Устройство водостока</t>
  </si>
  <si>
    <t>Монтаж сендвичпанелей кровельных</t>
  </si>
  <si>
    <t>машчас</t>
  </si>
  <si>
    <t>Сэндвичпанели б=150 мм</t>
  </si>
  <si>
    <t>Сэндвичпанели б=200 мм</t>
  </si>
  <si>
    <t>Сэндвичпанели б=100 мм</t>
  </si>
  <si>
    <t xml:space="preserve">    профнастил оцинкованный Н1147500,9</t>
  </si>
  <si>
    <t xml:space="preserve">    Бикрост ЭПП 15 м</t>
  </si>
  <si>
    <t xml:space="preserve">    разделительный слой из пленки геотекстиль</t>
  </si>
  <si>
    <t xml:space="preserve">    мембрана ПЛАСТФОИЛ NORD 1.2мм</t>
  </si>
  <si>
    <t xml:space="preserve">    профнастил оцинкованный с2110000,7</t>
  </si>
  <si>
    <t xml:space="preserve">    минеральная плита Лайнрок РУФ Н</t>
  </si>
  <si>
    <t xml:space="preserve">    плиты пеноплекс 100мм</t>
  </si>
  <si>
    <t xml:space="preserve">    минераловатные плиты Лайнрок руф 50мм</t>
  </si>
  <si>
    <t xml:space="preserve">    доборный элемент 0,7*700мм</t>
  </si>
  <si>
    <t xml:space="preserve">    доборный элемент 0,7*500мм</t>
  </si>
  <si>
    <t>Пиломатериал, доска</t>
  </si>
  <si>
    <t>Тюменская область, Ханты-Мансийский автономный округ, Октябрьский район, п. Приобье, ул. Портовая 12</t>
  </si>
  <si>
    <t>Конструкции металлические (кровля, крыльца, лестницы)</t>
  </si>
  <si>
    <t>Стройактив</t>
  </si>
  <si>
    <t>вахтовый жилой корпус 216м2/производственный корпус 252м2/складской корпус 108м2</t>
  </si>
  <si>
    <t>48х12х7,5</t>
  </si>
  <si>
    <t>4,3/7,5</t>
  </si>
  <si>
    <t>Ямало-Ненецкий автономный округ, Пуровск - 2400км от г. Новосибирска</t>
  </si>
  <si>
    <t>Раствор М100</t>
  </si>
  <si>
    <t>Устройство выравнивающей стяжки</t>
  </si>
  <si>
    <t>Кирпич М100</t>
  </si>
  <si>
    <t>Сетка диам.5Вр-I яч.50х50мм, 5,81кг/м2</t>
  </si>
  <si>
    <t>Устройство кирпичной кладки стен</t>
  </si>
  <si>
    <t>Армирование кладки стен</t>
  </si>
  <si>
    <t>тн</t>
  </si>
  <si>
    <t>Сэндвич-панели б=250 мм</t>
  </si>
  <si>
    <t>Металлоконструкции заводского изготовления кровельные</t>
  </si>
  <si>
    <t>Дверь Гладкая ПВХ (фабрика "Verda" г. Одинцово), 1,31*2,1</t>
  </si>
  <si>
    <t>Секционные гаражные ворота ALUTECH ''CLASSIC'', 3,6х3,6м</t>
  </si>
  <si>
    <t>Гаражные ворота утеплённые, 2,4*2,4м</t>
  </si>
  <si>
    <t>Металлоконструкции входного крыльца - 3х2м - 0,5тн</t>
  </si>
  <si>
    <t>Металлоконструкции входного крыльца - 1,5х2м - 0,25тн</t>
  </si>
  <si>
    <t>Металлоконструкции входного крыльца - 3х2,7м - 0,75тн</t>
  </si>
  <si>
    <t>Монтаж металлоконструкции крыльц и пандусов</t>
  </si>
  <si>
    <t>Неучтенные работы и материалы</t>
  </si>
  <si>
    <t>Доставка Новосибирск-г.Пуровск 2400км</t>
  </si>
  <si>
    <t>Количество машин на доставку/металлокаркас/сендвич-панели/окна,двери,ворота/отделочные/инжинерия, санфаянс:</t>
  </si>
  <si>
    <t>2/6/1/1/1</t>
  </si>
  <si>
    <t>Водоснабжение, канализация (материалы)</t>
  </si>
  <si>
    <t>Водоснабжение, канализация(монтаж)</t>
  </si>
  <si>
    <t>Облицовка стен ГКЛ 1 слой со шпакл, грунт, окраской краской акриловой</t>
  </si>
  <si>
    <t>ГКЛ</t>
  </si>
  <si>
    <t>Краска акриловая</t>
  </si>
  <si>
    <t>Шпаклевка</t>
  </si>
  <si>
    <t>Грунтовка</t>
  </si>
  <si>
    <t>Облицовка стен керамической плиткой (пом № 7-10,14)</t>
  </si>
  <si>
    <t xml:space="preserve">Плитка керамическая </t>
  </si>
  <si>
    <t>Клей для плитки</t>
  </si>
  <si>
    <t>Облицовка стен кафелем</t>
  </si>
  <si>
    <t>Линолеум (все помещения, кроме указанных ниже)</t>
  </si>
  <si>
    <t>Укладка линолеума</t>
  </si>
  <si>
    <t>Керамогранит (помещения № 3, 4, 21)</t>
  </si>
  <si>
    <t>Укладка керамогранита</t>
  </si>
  <si>
    <t>Плитка керамическая (помещения № 7-10, 13-19, 27, 29-30)</t>
  </si>
  <si>
    <t xml:space="preserve">Укладка плитки керамической </t>
  </si>
  <si>
    <t>Клей для плитки/керамогранита</t>
  </si>
  <si>
    <t>Раствор для стяжки - наливной пол (помещение № 23 и 24)</t>
  </si>
  <si>
    <t>Наполнитель для раствора Кородур</t>
  </si>
  <si>
    <t>Устройство наливного пола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</si>
</sst>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7" fillId="0" borderId="0"/>
  </cellStyleXfs>
  <cellXfs count="13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4" fontId="2" fillId="2" borderId="1" xfId="1" applyFont="1" applyFill="1" applyBorder="1" applyAlignment="1">
      <alignment horizontal="center" wrapText="1"/>
    </xf>
    <xf numFmtId="44" fontId="0" fillId="2" borderId="1" xfId="1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4" fontId="1" fillId="2" borderId="1" xfId="1" applyFont="1" applyFill="1" applyBorder="1" applyAlignment="1">
      <alignment horizontal="center" wrapText="1"/>
    </xf>
    <xf numFmtId="44" fontId="11" fillId="2" borderId="1" xfId="1" applyFont="1" applyFill="1" applyBorder="1" applyAlignment="1">
      <alignment horizontal="center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44" fontId="5" fillId="2" borderId="1" xfId="1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2" fillId="0" borderId="2" xfId="0" applyFont="1" applyBorder="1" applyAlignment="1" applyProtection="1"/>
    <xf numFmtId="0" fontId="12" fillId="0" borderId="1" xfId="0" applyFont="1" applyBorder="1" applyAlignment="1" applyProtection="1"/>
    <xf numFmtId="0" fontId="12" fillId="0" borderId="2" xfId="0" applyFont="1" applyBorder="1" applyAlignment="1" applyProtection="1">
      <alignment wrapText="1"/>
    </xf>
    <xf numFmtId="0" fontId="3" fillId="2" borderId="2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44" fontId="5" fillId="3" borderId="1" xfId="1" applyFont="1" applyFill="1" applyBorder="1" applyAlignment="1">
      <alignment wrapText="1"/>
    </xf>
    <xf numFmtId="44" fontId="10" fillId="3" borderId="1" xfId="1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44" fontId="11" fillId="3" borderId="1" xfId="1" applyFont="1" applyFill="1" applyBorder="1" applyAlignment="1">
      <alignment horizontal="center" wrapText="1"/>
    </xf>
    <xf numFmtId="0" fontId="13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44" fontId="8" fillId="3" borderId="1" xfId="1" applyFont="1" applyFill="1" applyBorder="1" applyAlignment="1">
      <alignment vertical="center" wrapText="1"/>
    </xf>
    <xf numFmtId="44" fontId="7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44" fontId="2" fillId="3" borderId="1" xfId="1" applyFont="1" applyFill="1" applyBorder="1" applyAlignment="1">
      <alignment horizontal="center" wrapText="1"/>
    </xf>
    <xf numFmtId="44" fontId="0" fillId="3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44" fontId="0" fillId="3" borderId="1" xfId="1" applyFont="1" applyFill="1" applyBorder="1" applyAlignment="1">
      <alignment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wrapText="1"/>
    </xf>
    <xf numFmtId="0" fontId="11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wrapText="1"/>
    </xf>
    <xf numFmtId="0" fontId="13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 wrapText="1"/>
    </xf>
    <xf numFmtId="43" fontId="0" fillId="2" borderId="1" xfId="1" applyNumberFormat="1" applyFont="1" applyFill="1" applyBorder="1" applyAlignment="1">
      <alignment wrapText="1"/>
    </xf>
    <xf numFmtId="43" fontId="5" fillId="3" borderId="1" xfId="1" applyNumberFormat="1" applyFont="1" applyFill="1" applyBorder="1" applyAlignment="1">
      <alignment wrapText="1"/>
    </xf>
    <xf numFmtId="0" fontId="16" fillId="5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8" fillId="0" borderId="1" xfId="2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9" fillId="2" borderId="1" xfId="0" applyFont="1" applyFill="1" applyBorder="1" applyAlignment="1">
      <alignment horizontal="center" wrapText="1"/>
    </xf>
    <xf numFmtId="44" fontId="19" fillId="2" borderId="1" xfId="1" applyFont="1" applyFill="1" applyBorder="1" applyAlignment="1">
      <alignment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/>
    <xf numFmtId="44" fontId="19" fillId="2" borderId="1" xfId="1" applyFont="1" applyFill="1" applyBorder="1" applyAlignment="1">
      <alignment horizontal="right" wrapText="1"/>
    </xf>
    <xf numFmtId="4" fontId="19" fillId="0" borderId="1" xfId="0" applyNumberFormat="1" applyFont="1" applyFill="1" applyBorder="1" applyAlignment="1">
      <alignment horizontal="right" vertical="center" wrapText="1"/>
    </xf>
    <xf numFmtId="4" fontId="19" fillId="0" borderId="1" xfId="0" applyNumberFormat="1" applyFont="1" applyBorder="1" applyAlignment="1">
      <alignment horizontal="right" vertical="top" wrapText="1"/>
    </xf>
    <xf numFmtId="0" fontId="19" fillId="0" borderId="0" xfId="0" applyFont="1" applyAlignment="1">
      <alignment horizontal="right"/>
    </xf>
    <xf numFmtId="0" fontId="19" fillId="2" borderId="1" xfId="0" applyFont="1" applyFill="1" applyBorder="1" applyAlignment="1">
      <alignment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center"/>
    </xf>
    <xf numFmtId="44" fontId="19" fillId="0" borderId="1" xfId="1" applyFont="1" applyBorder="1" applyAlignment="1">
      <alignment horizontal="right"/>
    </xf>
    <xf numFmtId="0" fontId="1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44" fontId="19" fillId="2" borderId="1" xfId="1" applyFont="1" applyFill="1" applyBorder="1" applyAlignment="1">
      <alignment horizontal="right" vertical="center" wrapText="1"/>
    </xf>
    <xf numFmtId="0" fontId="19" fillId="0" borderId="2" xfId="0" applyFont="1" applyBorder="1" applyAlignment="1" applyProtection="1"/>
    <xf numFmtId="0" fontId="19" fillId="0" borderId="1" xfId="0" applyFont="1" applyBorder="1" applyAlignment="1" applyProtection="1"/>
    <xf numFmtId="0" fontId="19" fillId="0" borderId="2" xfId="0" applyFont="1" applyBorder="1" applyAlignment="1" applyProtection="1">
      <alignment wrapText="1"/>
    </xf>
    <xf numFmtId="0" fontId="19" fillId="0" borderId="1" xfId="0" applyNumberFormat="1" applyFont="1" applyBorder="1" applyAlignment="1">
      <alignment horizontal="left" vertical="top" wrapText="1"/>
    </xf>
    <xf numFmtId="0" fontId="19" fillId="0" borderId="1" xfId="0" applyNumberFormat="1" applyFont="1" applyBorder="1" applyAlignment="1">
      <alignment horizontal="left" vertical="top"/>
    </xf>
    <xf numFmtId="2" fontId="19" fillId="0" borderId="1" xfId="0" applyNumberFormat="1" applyFont="1" applyBorder="1" applyAlignment="1">
      <alignment horizontal="right" vertical="top"/>
    </xf>
    <xf numFmtId="4" fontId="19" fillId="0" borderId="1" xfId="0" applyNumberFormat="1" applyFont="1" applyBorder="1" applyAlignment="1">
      <alignment horizontal="right" vertical="top"/>
    </xf>
    <xf numFmtId="44" fontId="19" fillId="2" borderId="1" xfId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wrapText="1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right"/>
    </xf>
    <xf numFmtId="0" fontId="19" fillId="2" borderId="2" xfId="0" applyFont="1" applyFill="1" applyBorder="1" applyAlignment="1">
      <alignment vertical="top" wrapText="1"/>
    </xf>
    <xf numFmtId="0" fontId="19" fillId="2" borderId="1" xfId="0" applyFont="1" applyFill="1" applyBorder="1" applyAlignment="1">
      <alignment vertical="top" wrapText="1"/>
    </xf>
    <xf numFmtId="0" fontId="19" fillId="0" borderId="2" xfId="0" applyFont="1" applyBorder="1" applyAlignment="1" applyProtection="1">
      <alignment vertical="top" wrapText="1"/>
    </xf>
    <xf numFmtId="0" fontId="19" fillId="0" borderId="1" xfId="0" applyFont="1" applyBorder="1" applyAlignment="1" applyProtection="1">
      <alignment vertical="top" wrapText="1"/>
    </xf>
    <xf numFmtId="0" fontId="19" fillId="0" borderId="0" xfId="0" applyFont="1" applyAlignment="1">
      <alignment vertical="top" wrapText="1"/>
    </xf>
    <xf numFmtId="0" fontId="18" fillId="0" borderId="0" xfId="0" applyFont="1"/>
    <xf numFmtId="0" fontId="21" fillId="0" borderId="1" xfId="0" applyFont="1" applyBorder="1" applyAlignment="1">
      <alignment vertical="top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44" fontId="14" fillId="4" borderId="2" xfId="1" applyFont="1" applyFill="1" applyBorder="1" applyAlignment="1">
      <alignment horizontal="right" vertical="center"/>
    </xf>
    <xf numFmtId="44" fontId="14" fillId="4" borderId="3" xfId="1" applyFont="1" applyFill="1" applyBorder="1" applyAlignment="1">
      <alignment horizontal="right" vertical="center"/>
    </xf>
    <xf numFmtId="44" fontId="14" fillId="4" borderId="4" xfId="1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4" fontId="0" fillId="2" borderId="1" xfId="1" applyFont="1" applyFill="1" applyBorder="1" applyAlignment="1">
      <alignment vertical="center" wrapText="1"/>
    </xf>
    <xf numFmtId="0" fontId="0" fillId="2" borderId="1" xfId="0" applyFont="1" applyFill="1" applyBorder="1" applyAlignment="1" applyProtection="1"/>
    <xf numFmtId="0" fontId="0" fillId="2" borderId="1" xfId="0" applyFont="1" applyFill="1" applyBorder="1" applyAlignment="1" applyProtection="1">
      <alignment horizontal="center"/>
    </xf>
    <xf numFmtId="0" fontId="0" fillId="0" borderId="1" xfId="0" applyFont="1" applyBorder="1"/>
    <xf numFmtId="44" fontId="0" fillId="2" borderId="1" xfId="1" applyFont="1" applyFill="1" applyBorder="1" applyAlignment="1" applyProtection="1">
      <alignment horizontal="center"/>
    </xf>
    <xf numFmtId="44" fontId="0" fillId="2" borderId="2" xfId="1" applyFont="1" applyFill="1" applyBorder="1" applyAlignment="1" applyProtection="1">
      <alignment horizontal="center"/>
    </xf>
    <xf numFmtId="44" fontId="0" fillId="0" borderId="2" xfId="1" applyFont="1" applyFill="1" applyBorder="1" applyAlignment="1">
      <alignment horizontal="center"/>
    </xf>
    <xf numFmtId="44" fontId="0" fillId="0" borderId="2" xfId="1" applyFont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2" fillId="2" borderId="1" xfId="1" applyFont="1" applyFill="1" applyBorder="1" applyAlignment="1">
      <alignment horizontal="right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52"/>
  <sheetViews>
    <sheetView tabSelected="1" topLeftCell="B127" zoomScaleNormal="100" workbookViewId="0">
      <selection activeCell="H137" sqref="H137"/>
    </sheetView>
  </sheetViews>
  <sheetFormatPr defaultRowHeight="15" outlineLevelRow="1" outlineLevelCol="1" x14ac:dyDescent="0.25"/>
  <cols>
    <col min="1" max="1" width="5.85546875" style="3" hidden="1" customWidth="1" outlineLevel="1"/>
    <col min="2" max="2" width="67.7109375" customWidth="1" collapsed="1"/>
    <col min="3" max="3" width="15" style="2" customWidth="1"/>
    <col min="4" max="4" width="15.85546875" style="2" customWidth="1"/>
    <col min="5" max="5" width="15" customWidth="1"/>
    <col min="6" max="6" width="22.140625" style="2" customWidth="1"/>
    <col min="7" max="7" width="13.140625" customWidth="1"/>
  </cols>
  <sheetData>
    <row r="1" spans="1:6" ht="47.25" customHeight="1" x14ac:dyDescent="0.25">
      <c r="A1" s="118" t="str">
        <f>C2</f>
        <v>вахтовый жилой корпус 216м2/производственный корпус 252м2/складской корпус 108м2</v>
      </c>
      <c r="B1" s="119"/>
      <c r="C1" s="108" t="str">
        <f>C3</f>
        <v>Стройактив</v>
      </c>
      <c r="D1" s="108"/>
      <c r="E1" s="108"/>
      <c r="F1" s="109"/>
    </row>
    <row r="2" spans="1:6" ht="32.25" customHeight="1" x14ac:dyDescent="0.25">
      <c r="A2" s="24">
        <v>1</v>
      </c>
      <c r="B2" s="36" t="s">
        <v>2</v>
      </c>
      <c r="C2" s="104" t="s">
        <v>957</v>
      </c>
      <c r="D2" s="104"/>
      <c r="E2" s="104"/>
      <c r="F2" s="104"/>
    </row>
    <row r="3" spans="1:6" ht="15" customHeight="1" x14ac:dyDescent="0.25">
      <c r="A3" s="24">
        <f>A2+1</f>
        <v>2</v>
      </c>
      <c r="B3" s="36" t="s">
        <v>0</v>
      </c>
      <c r="C3" s="104" t="s">
        <v>956</v>
      </c>
      <c r="D3" s="104"/>
      <c r="E3" s="104"/>
      <c r="F3" s="104"/>
    </row>
    <row r="4" spans="1:6" ht="28.5" customHeight="1" x14ac:dyDescent="0.25">
      <c r="A4" s="24">
        <f t="shared" ref="A4:A81" si="0">A3+1</f>
        <v>3</v>
      </c>
      <c r="B4" s="36" t="s">
        <v>1</v>
      </c>
      <c r="C4" s="104" t="s">
        <v>954</v>
      </c>
      <c r="D4" s="104"/>
      <c r="E4" s="104"/>
      <c r="F4" s="104"/>
    </row>
    <row r="5" spans="1:6" ht="15" customHeight="1" x14ac:dyDescent="0.25">
      <c r="A5" s="24">
        <f t="shared" si="0"/>
        <v>4</v>
      </c>
      <c r="B5" s="36" t="s">
        <v>51</v>
      </c>
      <c r="C5" s="104">
        <f>48*12</f>
        <v>576</v>
      </c>
      <c r="D5" s="104"/>
      <c r="E5" s="104"/>
      <c r="F5" s="104"/>
    </row>
    <row r="6" spans="1:6" x14ac:dyDescent="0.25">
      <c r="A6" s="24">
        <f t="shared" si="0"/>
        <v>5</v>
      </c>
      <c r="B6" s="36" t="s">
        <v>9</v>
      </c>
      <c r="C6" s="104">
        <v>1</v>
      </c>
      <c r="D6" s="104"/>
      <c r="E6" s="104"/>
      <c r="F6" s="104"/>
    </row>
    <row r="7" spans="1:6" ht="15" customHeight="1" x14ac:dyDescent="0.25">
      <c r="A7" s="24">
        <f t="shared" si="0"/>
        <v>6</v>
      </c>
      <c r="B7" s="36" t="s">
        <v>16</v>
      </c>
      <c r="C7" s="104" t="s">
        <v>958</v>
      </c>
      <c r="D7" s="104"/>
      <c r="E7" s="104"/>
      <c r="F7" s="104"/>
    </row>
    <row r="8" spans="1:6" ht="15" customHeight="1" x14ac:dyDescent="0.25">
      <c r="A8" s="24">
        <f t="shared" si="0"/>
        <v>7</v>
      </c>
      <c r="B8" s="36" t="s">
        <v>17</v>
      </c>
      <c r="C8" s="105" t="s">
        <v>959</v>
      </c>
      <c r="D8" s="106"/>
      <c r="E8" s="106"/>
      <c r="F8" s="107"/>
    </row>
    <row r="9" spans="1:6" x14ac:dyDescent="0.25">
      <c r="A9" s="24">
        <f t="shared" si="0"/>
        <v>8</v>
      </c>
      <c r="B9" s="36" t="s">
        <v>4</v>
      </c>
      <c r="C9" s="104">
        <v>250</v>
      </c>
      <c r="D9" s="104"/>
      <c r="E9" s="104"/>
      <c r="F9" s="104"/>
    </row>
    <row r="10" spans="1:6" x14ac:dyDescent="0.25">
      <c r="A10" s="24">
        <f t="shared" si="0"/>
        <v>9</v>
      </c>
      <c r="B10" s="36" t="s">
        <v>5</v>
      </c>
      <c r="C10" s="104">
        <v>250</v>
      </c>
      <c r="D10" s="104"/>
      <c r="E10" s="104"/>
      <c r="F10" s="104"/>
    </row>
    <row r="11" spans="1:6" ht="30.75" customHeight="1" x14ac:dyDescent="0.25">
      <c r="A11" s="24">
        <f t="shared" si="0"/>
        <v>10</v>
      </c>
      <c r="B11" s="36" t="s">
        <v>45</v>
      </c>
      <c r="C11" s="112" t="s">
        <v>960</v>
      </c>
      <c r="D11" s="113"/>
      <c r="E11" s="113"/>
      <c r="F11" s="114"/>
    </row>
    <row r="12" spans="1:6" ht="19.5" customHeight="1" x14ac:dyDescent="0.25">
      <c r="A12" s="24">
        <f t="shared" si="0"/>
        <v>11</v>
      </c>
      <c r="B12" s="51" t="s">
        <v>3</v>
      </c>
      <c r="C12" s="112" t="s">
        <v>87</v>
      </c>
      <c r="D12" s="113"/>
      <c r="E12" s="113"/>
      <c r="F12" s="114"/>
    </row>
    <row r="13" spans="1:6" ht="15.75" x14ac:dyDescent="0.25">
      <c r="A13" s="24">
        <f t="shared" si="0"/>
        <v>12</v>
      </c>
      <c r="B13" s="25" t="s">
        <v>61</v>
      </c>
      <c r="C13" s="26"/>
      <c r="D13" s="26"/>
      <c r="E13" s="27"/>
      <c r="F13" s="37"/>
    </row>
    <row r="14" spans="1:6" outlineLevel="1" x14ac:dyDescent="0.25">
      <c r="A14" s="24">
        <f t="shared" si="0"/>
        <v>13</v>
      </c>
      <c r="B14" s="4" t="s">
        <v>19</v>
      </c>
      <c r="C14" s="9" t="str">
        <f>VLOOKUP(B14,'Земляные работы'!Прайс,2,FALSE)</f>
        <v>чел/час</v>
      </c>
      <c r="D14" s="9"/>
      <c r="E14" s="7">
        <f>VLOOKUP(B14,'Земляные работы'!Прайс,3,FALSE)</f>
        <v>170</v>
      </c>
      <c r="F14" s="6">
        <f>D14*E14</f>
        <v>0</v>
      </c>
    </row>
    <row r="15" spans="1:6" outlineLevel="1" x14ac:dyDescent="0.25">
      <c r="A15" s="24">
        <f t="shared" si="0"/>
        <v>14</v>
      </c>
      <c r="B15" s="4" t="s">
        <v>21</v>
      </c>
      <c r="C15" s="9" t="str">
        <f>VLOOKUP(B15,'Земляные работы'!Прайс,2,FALSE)</f>
        <v>маш/час</v>
      </c>
      <c r="D15" s="9"/>
      <c r="E15" s="7">
        <f>VLOOKUP(B15,'Земляные работы'!Прайс,3,FALSE)</f>
        <v>2000</v>
      </c>
      <c r="F15" s="6">
        <f>D15*E15</f>
        <v>0</v>
      </c>
    </row>
    <row r="16" spans="1:6" outlineLevel="1" x14ac:dyDescent="0.25">
      <c r="A16" s="24"/>
      <c r="B16" s="4" t="s">
        <v>22</v>
      </c>
      <c r="C16" s="9" t="str">
        <f>VLOOKUP(B16,'Земляные работы'!Прайс,2,FALSE)</f>
        <v>маш/час</v>
      </c>
      <c r="D16" s="9"/>
      <c r="E16" s="7">
        <f>VLOOKUP(B16,'Земляные работы'!Прайс,3,FALSE)</f>
        <v>2000</v>
      </c>
      <c r="F16" s="6">
        <f t="shared" ref="F16:F17" si="1">D16*E16</f>
        <v>0</v>
      </c>
    </row>
    <row r="17" spans="1:6" outlineLevel="1" x14ac:dyDescent="0.25">
      <c r="A17" s="24"/>
      <c r="B17" s="4" t="s">
        <v>87</v>
      </c>
      <c r="C17" s="9" t="str">
        <f>VLOOKUP(B17,'Земляные работы'!Прайс,2,FALSE)</f>
        <v>-</v>
      </c>
      <c r="D17" s="9"/>
      <c r="E17" s="7">
        <f>VLOOKUP(B17,'Земляные работы'!Прайс,3,FALSE)</f>
        <v>0</v>
      </c>
      <c r="F17" s="6">
        <f t="shared" si="1"/>
        <v>0</v>
      </c>
    </row>
    <row r="18" spans="1:6" outlineLevel="1" x14ac:dyDescent="0.25">
      <c r="A18" s="24">
        <f>A15+1</f>
        <v>15</v>
      </c>
      <c r="B18" s="4" t="s">
        <v>87</v>
      </c>
      <c r="C18" s="9" t="str">
        <f>VLOOKUP(B18,'Земляные работы'!Прайс,2,FALSE)</f>
        <v>-</v>
      </c>
      <c r="D18" s="9"/>
      <c r="E18" s="7">
        <f>VLOOKUP(B18,'Земляные работы'!Прайс,3,FALSE)</f>
        <v>0</v>
      </c>
      <c r="F18" s="6">
        <f>D18*E18</f>
        <v>0</v>
      </c>
    </row>
    <row r="19" spans="1:6" ht="15.75" x14ac:dyDescent="0.25">
      <c r="A19" s="24">
        <f t="shared" si="0"/>
        <v>16</v>
      </c>
      <c r="B19" s="5" t="s">
        <v>7</v>
      </c>
      <c r="C19" s="10"/>
      <c r="D19" s="10"/>
      <c r="E19" s="8"/>
      <c r="F19" s="17">
        <f>SUM(F14:F18)</f>
        <v>0</v>
      </c>
    </row>
    <row r="20" spans="1:6" ht="15.75" x14ac:dyDescent="0.25">
      <c r="A20" s="24">
        <f t="shared" si="0"/>
        <v>17</v>
      </c>
      <c r="B20" s="25" t="s">
        <v>62</v>
      </c>
      <c r="C20" s="26"/>
      <c r="D20" s="26"/>
      <c r="E20" s="27"/>
      <c r="F20" s="37"/>
    </row>
    <row r="21" spans="1:6" outlineLevel="1" x14ac:dyDescent="0.25">
      <c r="A21" s="24">
        <f t="shared" si="0"/>
        <v>18</v>
      </c>
      <c r="B21" s="4" t="s">
        <v>26</v>
      </c>
      <c r="C21" s="9" t="str">
        <f>VLOOKUP(B21,Фундаменты!Прайс,2,FALSE)</f>
        <v>м3</v>
      </c>
      <c r="D21" s="56"/>
      <c r="E21" s="7">
        <f>VLOOKUP(B21,Фундаменты!Прайс,3,FALSE)</f>
        <v>4000</v>
      </c>
      <c r="F21" s="16">
        <f t="shared" ref="F21:F23" si="2">D21*E21</f>
        <v>0</v>
      </c>
    </row>
    <row r="22" spans="1:6" outlineLevel="1" x14ac:dyDescent="0.25">
      <c r="A22" s="24">
        <f t="shared" si="0"/>
        <v>19</v>
      </c>
      <c r="B22" s="4" t="s">
        <v>24</v>
      </c>
      <c r="C22" s="9" t="str">
        <f>VLOOKUP(B22,Фундаменты!Прайс,2,FALSE)</f>
        <v>т</v>
      </c>
      <c r="D22" s="56"/>
      <c r="E22" s="7">
        <f>VLOOKUP(B22,Фундаменты!Прайс,3,FALSE)</f>
        <v>28000</v>
      </c>
      <c r="F22" s="16">
        <f t="shared" si="2"/>
        <v>0</v>
      </c>
    </row>
    <row r="23" spans="1:6" outlineLevel="1" x14ac:dyDescent="0.25">
      <c r="A23" s="24">
        <f t="shared" si="0"/>
        <v>20</v>
      </c>
      <c r="B23" s="4" t="s">
        <v>27</v>
      </c>
      <c r="C23" s="9" t="str">
        <f>VLOOKUP(B23,Фундаменты!Прайс,2,FALSE)</f>
        <v>т</v>
      </c>
      <c r="D23" s="56"/>
      <c r="E23" s="7">
        <f>VLOOKUP(B23,Фундаменты!Прайс,3,FALSE)</f>
        <v>50000</v>
      </c>
      <c r="F23" s="16">
        <f t="shared" si="2"/>
        <v>0</v>
      </c>
    </row>
    <row r="24" spans="1:6" outlineLevel="1" x14ac:dyDescent="0.25">
      <c r="A24" s="24">
        <f t="shared" si="0"/>
        <v>21</v>
      </c>
      <c r="B24" s="4" t="s">
        <v>25</v>
      </c>
      <c r="C24" s="9" t="str">
        <f>VLOOKUP(B24,Фундаменты!Прайс,2,FALSE)</f>
        <v>м3</v>
      </c>
      <c r="D24" s="56"/>
      <c r="E24" s="7">
        <f>VLOOKUP(B24,Фундаменты!Прайс,3,FALSE)</f>
        <v>500</v>
      </c>
      <c r="F24" s="16">
        <f t="shared" ref="F24:F27" si="3">D24*E24</f>
        <v>0</v>
      </c>
    </row>
    <row r="25" spans="1:6" outlineLevel="1" x14ac:dyDescent="0.25">
      <c r="A25" s="24"/>
      <c r="B25" s="4" t="s">
        <v>28</v>
      </c>
      <c r="C25" s="9" t="str">
        <f>VLOOKUP(B25,Фундаменты!Прайс,2,FALSE)</f>
        <v>т</v>
      </c>
      <c r="D25" s="56"/>
      <c r="E25" s="7">
        <f>VLOOKUP(B25,Фундаменты!Прайс,3,FALSE)</f>
        <v>23000</v>
      </c>
      <c r="F25" s="16">
        <f t="shared" si="3"/>
        <v>0</v>
      </c>
    </row>
    <row r="26" spans="1:6" outlineLevel="1" x14ac:dyDescent="0.25">
      <c r="A26" s="24"/>
      <c r="B26" s="4" t="s">
        <v>78</v>
      </c>
      <c r="C26" s="9" t="str">
        <f>VLOOKUP(B26,Фундаменты!Прайс,2,FALSE)</f>
        <v>м3</v>
      </c>
      <c r="D26" s="56"/>
      <c r="E26" s="7">
        <f>VLOOKUP(B26,Фундаменты!Прайс,3,FALSE)</f>
        <v>2500</v>
      </c>
      <c r="F26" s="16">
        <f t="shared" si="3"/>
        <v>0</v>
      </c>
    </row>
    <row r="27" spans="1:6" outlineLevel="1" x14ac:dyDescent="0.25">
      <c r="A27" s="24"/>
      <c r="B27" s="4" t="s">
        <v>47</v>
      </c>
      <c r="C27" s="9" t="str">
        <f>VLOOKUP(B27,Фундаменты!Прайс,2,FALSE)</f>
        <v>м2</v>
      </c>
      <c r="D27" s="56"/>
      <c r="E27" s="7">
        <f>VLOOKUP(B27,Фундаменты!Прайс,3,FALSE)</f>
        <v>80</v>
      </c>
      <c r="F27" s="16">
        <f t="shared" si="3"/>
        <v>0</v>
      </c>
    </row>
    <row r="28" spans="1:6" ht="15.75" x14ac:dyDescent="0.25">
      <c r="A28" s="24" t="e">
        <f>#REF!+1</f>
        <v>#REF!</v>
      </c>
      <c r="B28" s="5" t="s">
        <v>7</v>
      </c>
      <c r="C28" s="10"/>
      <c r="D28" s="10"/>
      <c r="E28" s="8"/>
      <c r="F28" s="17">
        <f>SUM(F21:F27)</f>
        <v>0</v>
      </c>
    </row>
    <row r="29" spans="1:6" ht="15.75" x14ac:dyDescent="0.25">
      <c r="A29" s="24" t="e">
        <f t="shared" si="0"/>
        <v>#REF!</v>
      </c>
      <c r="B29" s="25" t="s">
        <v>63</v>
      </c>
      <c r="C29" s="26"/>
      <c r="D29" s="26"/>
      <c r="E29" s="27"/>
      <c r="F29" s="38"/>
    </row>
    <row r="30" spans="1:6" outlineLevel="1" x14ac:dyDescent="0.25">
      <c r="A30" s="24" t="e">
        <f t="shared" si="0"/>
        <v>#REF!</v>
      </c>
      <c r="B30" s="4" t="s">
        <v>26</v>
      </c>
      <c r="C30" s="9" t="str">
        <f>VLOOKUP(B30,Фундаменты!Прайс,2,FALSE)</f>
        <v>м3</v>
      </c>
      <c r="D30" s="56"/>
      <c r="E30" s="7">
        <f>VLOOKUP(B30,Фундаменты!Прайс,3,FALSE)</f>
        <v>4000</v>
      </c>
      <c r="F30" s="16">
        <f t="shared" ref="F30:F36" si="4">D30*E30</f>
        <v>0</v>
      </c>
    </row>
    <row r="31" spans="1:6" outlineLevel="1" x14ac:dyDescent="0.25">
      <c r="A31" s="24" t="e">
        <f t="shared" si="0"/>
        <v>#REF!</v>
      </c>
      <c r="B31" s="13" t="s">
        <v>24</v>
      </c>
      <c r="C31" s="9" t="str">
        <f>VLOOKUP(B31,Фундаменты!Прайс,2,FALSE)</f>
        <v>т</v>
      </c>
      <c r="D31" s="57"/>
      <c r="E31" s="7">
        <f>VLOOKUP(B31,Фундаменты!Прайс,3,FALSE)</f>
        <v>28000</v>
      </c>
      <c r="F31" s="16">
        <f t="shared" ref="F31" si="5">D31*E31</f>
        <v>0</v>
      </c>
    </row>
    <row r="32" spans="1:6" outlineLevel="1" x14ac:dyDescent="0.25">
      <c r="A32" s="24" t="e">
        <f t="shared" si="0"/>
        <v>#REF!</v>
      </c>
      <c r="B32" s="4" t="s">
        <v>27</v>
      </c>
      <c r="C32" s="9" t="str">
        <f>VLOOKUP(B32,Фундаменты!Прайс,2,FALSE)</f>
        <v>т</v>
      </c>
      <c r="D32" s="57"/>
      <c r="E32" s="7">
        <f>VLOOKUP(B32,Фундаменты!Прайс,3,FALSE)</f>
        <v>50000</v>
      </c>
      <c r="F32" s="16">
        <f t="shared" ref="F32" si="6">D32*E32</f>
        <v>0</v>
      </c>
    </row>
    <row r="33" spans="1:6" outlineLevel="1" x14ac:dyDescent="0.25">
      <c r="A33" s="24" t="e">
        <f t="shared" si="0"/>
        <v>#REF!</v>
      </c>
      <c r="B33" s="4" t="s">
        <v>25</v>
      </c>
      <c r="C33" s="9" t="str">
        <f>VLOOKUP(B33,Фундаменты!Прайс,2,FALSE)</f>
        <v>м3</v>
      </c>
      <c r="D33" s="56"/>
      <c r="E33" s="7">
        <f>VLOOKUP(B33,Фундаменты!Прайс,3,FALSE)</f>
        <v>500</v>
      </c>
      <c r="F33" s="6">
        <f>D33*E33</f>
        <v>0</v>
      </c>
    </row>
    <row r="34" spans="1:6" outlineLevel="1" x14ac:dyDescent="0.25">
      <c r="A34" s="24" t="e">
        <f t="shared" si="0"/>
        <v>#REF!</v>
      </c>
      <c r="B34" s="4" t="s">
        <v>28</v>
      </c>
      <c r="C34" s="9" t="str">
        <f>VLOOKUP(B34,Фундаменты!Прайс,2,FALSE)</f>
        <v>т</v>
      </c>
      <c r="D34" s="56"/>
      <c r="E34" s="7">
        <f>VLOOKUP(B34,Фундаменты!Прайс,3,FALSE)</f>
        <v>23000</v>
      </c>
      <c r="F34" s="16">
        <f t="shared" si="4"/>
        <v>0</v>
      </c>
    </row>
    <row r="35" spans="1:6" outlineLevel="1" x14ac:dyDescent="0.25">
      <c r="A35" s="24"/>
      <c r="B35" s="4" t="s">
        <v>78</v>
      </c>
      <c r="C35" s="9" t="str">
        <f>VLOOKUP(B35,Фундаменты!Прайс,2,FALSE)</f>
        <v>м3</v>
      </c>
      <c r="D35" s="56"/>
      <c r="E35" s="7">
        <f>VLOOKUP(B35,Фундаменты!Прайс,3,FALSE)</f>
        <v>2500</v>
      </c>
      <c r="F35" s="16">
        <f t="shared" si="4"/>
        <v>0</v>
      </c>
    </row>
    <row r="36" spans="1:6" outlineLevel="1" x14ac:dyDescent="0.25">
      <c r="A36" s="24"/>
      <c r="B36" s="4" t="s">
        <v>47</v>
      </c>
      <c r="C36" s="9" t="str">
        <f>VLOOKUP(B36,Фундаменты!Прайс,2,FALSE)</f>
        <v>м2</v>
      </c>
      <c r="D36" s="56"/>
      <c r="E36" s="7">
        <f>VLOOKUP(B36,Фундаменты!Прайс,3,FALSE)</f>
        <v>80</v>
      </c>
      <c r="F36" s="16">
        <f t="shared" si="4"/>
        <v>0</v>
      </c>
    </row>
    <row r="37" spans="1:6" ht="15.75" x14ac:dyDescent="0.25">
      <c r="A37" s="24" t="e">
        <f>#REF!+1</f>
        <v>#REF!</v>
      </c>
      <c r="B37" s="5" t="s">
        <v>7</v>
      </c>
      <c r="C37" s="10"/>
      <c r="D37" s="10"/>
      <c r="E37" s="8"/>
      <c r="F37" s="17">
        <f>SUM(F14:F36)</f>
        <v>0</v>
      </c>
    </row>
    <row r="38" spans="1:6" ht="15.75" x14ac:dyDescent="0.25">
      <c r="A38" s="24" t="e">
        <f t="shared" si="0"/>
        <v>#REF!</v>
      </c>
      <c r="B38" s="46" t="s">
        <v>64</v>
      </c>
      <c r="C38" s="26"/>
      <c r="D38" s="26"/>
      <c r="E38" s="27"/>
      <c r="F38" s="37"/>
    </row>
    <row r="39" spans="1:6" outlineLevel="1" x14ac:dyDescent="0.25">
      <c r="A39" s="24" t="e">
        <f t="shared" si="0"/>
        <v>#REF!</v>
      </c>
      <c r="B39" s="4" t="s">
        <v>29</v>
      </c>
      <c r="C39" s="9" t="s">
        <v>10</v>
      </c>
      <c r="D39" s="9">
        <f>C5*0.2</f>
        <v>115.2</v>
      </c>
      <c r="E39" s="7">
        <f>VLOOKUP(B39,Полы!Прайс,3,FALSE)</f>
        <v>600</v>
      </c>
      <c r="F39" s="6">
        <f>D39*E39</f>
        <v>69120</v>
      </c>
    </row>
    <row r="40" spans="1:6" outlineLevel="1" x14ac:dyDescent="0.25">
      <c r="A40" s="24" t="e">
        <f t="shared" si="0"/>
        <v>#REF!</v>
      </c>
      <c r="B40" s="4" t="s">
        <v>26</v>
      </c>
      <c r="C40" s="9" t="s">
        <v>10</v>
      </c>
      <c r="D40" s="9">
        <f>C5*0.2</f>
        <v>115.2</v>
      </c>
      <c r="E40" s="7">
        <f>VLOOKUP(B40,Полы!Прайс,3,FALSE)</f>
        <v>4000</v>
      </c>
      <c r="F40" s="16">
        <f t="shared" ref="F40" si="7">D40*E40</f>
        <v>460800</v>
      </c>
    </row>
    <row r="41" spans="1:6" outlineLevel="1" x14ac:dyDescent="0.25">
      <c r="A41" s="24" t="e">
        <f t="shared" si="0"/>
        <v>#REF!</v>
      </c>
      <c r="B41" s="4" t="s">
        <v>24</v>
      </c>
      <c r="C41" s="9" t="s">
        <v>11</v>
      </c>
      <c r="D41" s="15">
        <f>C5*0.011</f>
        <v>6.3359999999999994</v>
      </c>
      <c r="E41" s="7">
        <f>VLOOKUP(B41,Полы!Прайс,3,FALSE)</f>
        <v>28000</v>
      </c>
      <c r="F41" s="16">
        <f t="shared" ref="F41:F45" si="8">D41*E41</f>
        <v>177407.99999999997</v>
      </c>
    </row>
    <row r="42" spans="1:6" outlineLevel="1" x14ac:dyDescent="0.25">
      <c r="A42" s="24"/>
      <c r="B42" s="4" t="s">
        <v>961</v>
      </c>
      <c r="C42" s="9" t="s">
        <v>10</v>
      </c>
      <c r="D42" s="15">
        <f>C5*0.02</f>
        <v>11.52</v>
      </c>
      <c r="E42" s="7">
        <f>VLOOKUP(B42,Полы!Прайс,3,FALSE)</f>
        <v>2900</v>
      </c>
      <c r="F42" s="16">
        <f t="shared" si="8"/>
        <v>33408</v>
      </c>
    </row>
    <row r="43" spans="1:6" outlineLevel="1" x14ac:dyDescent="0.25">
      <c r="A43" s="24"/>
      <c r="B43" s="4" t="s">
        <v>31</v>
      </c>
      <c r="C43" s="9" t="s">
        <v>10</v>
      </c>
      <c r="D43" s="9">
        <f>D39</f>
        <v>115.2</v>
      </c>
      <c r="E43" s="7">
        <f>VLOOKUP(B43,Полы!Прайс,3,FALSE)</f>
        <v>250</v>
      </c>
      <c r="F43" s="16">
        <f t="shared" si="8"/>
        <v>28800</v>
      </c>
    </row>
    <row r="44" spans="1:6" outlineLevel="1" x14ac:dyDescent="0.25">
      <c r="A44" s="24"/>
      <c r="B44" s="4" t="s">
        <v>36</v>
      </c>
      <c r="C44" s="9" t="s">
        <v>10</v>
      </c>
      <c r="D44" s="9">
        <f>D39</f>
        <v>115.2</v>
      </c>
      <c r="E44" s="7">
        <f>VLOOKUP(B44,Полы!Прайс,3,FALSE)</f>
        <v>1800</v>
      </c>
      <c r="F44" s="16">
        <f t="shared" si="8"/>
        <v>207360</v>
      </c>
    </row>
    <row r="45" spans="1:6" outlineLevel="1" x14ac:dyDescent="0.25">
      <c r="A45" s="24"/>
      <c r="B45" s="4" t="s">
        <v>962</v>
      </c>
      <c r="C45" s="9" t="str">
        <f>VLOOKUP(B45,Полы!Прайс,2,FALSE)</f>
        <v>м2</v>
      </c>
      <c r="D45" s="15">
        <f>C5</f>
        <v>576</v>
      </c>
      <c r="E45" s="7">
        <v>120</v>
      </c>
      <c r="F45" s="16">
        <f t="shared" si="8"/>
        <v>69120</v>
      </c>
    </row>
    <row r="46" spans="1:6" x14ac:dyDescent="0.25">
      <c r="A46" s="24" t="e">
        <f>#REF!+1</f>
        <v>#REF!</v>
      </c>
      <c r="B46" s="5" t="s">
        <v>7</v>
      </c>
      <c r="C46" s="10"/>
      <c r="D46" s="10"/>
      <c r="E46" s="8"/>
      <c r="F46" s="11">
        <f>SUM(F39:F45)</f>
        <v>1046016</v>
      </c>
    </row>
    <row r="47" spans="1:6" ht="15.75" x14ac:dyDescent="0.25">
      <c r="A47" s="24" t="e">
        <f t="shared" si="0"/>
        <v>#REF!</v>
      </c>
      <c r="B47" s="46" t="s">
        <v>6</v>
      </c>
      <c r="C47" s="26"/>
      <c r="D47" s="26"/>
      <c r="E47" s="27"/>
      <c r="F47" s="37"/>
    </row>
    <row r="48" spans="1:6" outlineLevel="1" x14ac:dyDescent="0.25">
      <c r="A48" s="24" t="e">
        <f t="shared" si="0"/>
        <v>#REF!</v>
      </c>
      <c r="B48" s="4" t="s">
        <v>79</v>
      </c>
      <c r="C48" s="9" t="str">
        <f>VLOOKUP(B48,Металлокаркас!Прайс,2,FALSE)</f>
        <v>т</v>
      </c>
      <c r="D48" s="9">
        <f>0.05*C5</f>
        <v>28.8</v>
      </c>
      <c r="E48" s="7">
        <f>VLOOKUP(B48,Металлокаркас!Прайс,3,FALSE)</f>
        <v>42000</v>
      </c>
      <c r="F48" s="6">
        <f>D48*E48</f>
        <v>1209600</v>
      </c>
    </row>
    <row r="49" spans="1:6" outlineLevel="1" x14ac:dyDescent="0.25">
      <c r="A49" s="24"/>
      <c r="B49" s="4" t="s">
        <v>969</v>
      </c>
      <c r="C49" s="9" t="str">
        <f>VLOOKUP(B49,Металлокаркас!Прайс,2,FALSE)</f>
        <v>т</v>
      </c>
      <c r="D49" s="9">
        <f>C5*0.015</f>
        <v>8.64</v>
      </c>
      <c r="E49" s="7">
        <f>VLOOKUP(B49,Металлокаркас!Прайс,3,FALSE)</f>
        <v>42000</v>
      </c>
      <c r="F49" s="6">
        <f>D49*E49</f>
        <v>362880</v>
      </c>
    </row>
    <row r="50" spans="1:6" outlineLevel="1" x14ac:dyDescent="0.25">
      <c r="A50" s="24" t="e">
        <f>A48+1</f>
        <v>#REF!</v>
      </c>
      <c r="B50" s="4" t="s">
        <v>80</v>
      </c>
      <c r="C50" s="9" t="str">
        <f>VLOOKUP(B50,Металлокаркас!Прайс,2,FALSE)</f>
        <v>т</v>
      </c>
      <c r="D50" s="9">
        <f>D48+D49</f>
        <v>37.44</v>
      </c>
      <c r="E50" s="7">
        <f>VLOOKUP(B50,Металлокаркас!Прайс,3,FALSE)</f>
        <v>7000</v>
      </c>
      <c r="F50" s="6">
        <f>D50*E50</f>
        <v>262079.99999999997</v>
      </c>
    </row>
    <row r="51" spans="1:6" outlineLevel="1" x14ac:dyDescent="0.25">
      <c r="A51" s="24" t="e">
        <f t="shared" si="0"/>
        <v>#REF!</v>
      </c>
      <c r="B51" s="4" t="s">
        <v>81</v>
      </c>
      <c r="C51" s="9" t="str">
        <f>VLOOKUP(B51,Металлокаркас!Прайс,2,FALSE)</f>
        <v>компл</v>
      </c>
      <c r="D51" s="9">
        <f>D48</f>
        <v>28.8</v>
      </c>
      <c r="E51" s="7">
        <f>VLOOKUP(B51,Металлокаркас!Прайс,3,FALSE)</f>
        <v>10000</v>
      </c>
      <c r="F51" s="6">
        <f>D51*E51</f>
        <v>288000</v>
      </c>
    </row>
    <row r="52" spans="1:6" x14ac:dyDescent="0.25">
      <c r="A52" s="24" t="e">
        <f t="shared" si="0"/>
        <v>#REF!</v>
      </c>
      <c r="B52" s="5" t="s">
        <v>7</v>
      </c>
      <c r="C52" s="10"/>
      <c r="D52" s="10"/>
      <c r="E52" s="8"/>
      <c r="F52" s="11">
        <f>SUM(F48:F51)</f>
        <v>2122560</v>
      </c>
    </row>
    <row r="53" spans="1:6" ht="15.75" x14ac:dyDescent="0.25">
      <c r="A53" s="24" t="e">
        <f t="shared" si="0"/>
        <v>#REF!</v>
      </c>
      <c r="B53" s="25" t="s">
        <v>65</v>
      </c>
      <c r="C53" s="26"/>
      <c r="D53" s="26"/>
      <c r="E53" s="27"/>
      <c r="F53" s="37"/>
    </row>
    <row r="54" spans="1:6" ht="16.5" customHeight="1" outlineLevel="1" x14ac:dyDescent="0.25">
      <c r="A54" s="24" t="e">
        <f t="shared" si="0"/>
        <v>#REF!</v>
      </c>
      <c r="B54" s="4" t="s">
        <v>963</v>
      </c>
      <c r="C54" s="9" t="str">
        <f>VLOOKUP(B54,'Наружные стены и модули'!Прайс,2,FALSE)</f>
        <v>шт</v>
      </c>
      <c r="D54" s="9">
        <f>D58*0.8/(0.125*0.065*0.25)</f>
        <v>25600</v>
      </c>
      <c r="E54" s="7">
        <f>VLOOKUP(B54,'Наружные стены и модули'!Прайс,3,FALSE)</f>
        <v>9.5</v>
      </c>
      <c r="F54" s="6">
        <f>D54*E54</f>
        <v>243200</v>
      </c>
    </row>
    <row r="55" spans="1:6" outlineLevel="1" x14ac:dyDescent="0.25">
      <c r="A55" s="24" t="e">
        <f t="shared" si="0"/>
        <v>#REF!</v>
      </c>
      <c r="B55" s="4" t="s">
        <v>961</v>
      </c>
      <c r="C55" s="9" t="str">
        <f>VLOOKUP(B55,'Наружные стены и модули'!Прайс,2,FALSE)</f>
        <v>м3</v>
      </c>
      <c r="D55" s="9">
        <f>D58*0.2</f>
        <v>13</v>
      </c>
      <c r="E55" s="7">
        <f>VLOOKUP(B55,'Наружные стены и модули'!Прайс,3,FALSE)</f>
        <v>2900</v>
      </c>
      <c r="F55" s="6">
        <f>D55*E55</f>
        <v>37700</v>
      </c>
    </row>
    <row r="56" spans="1:6" outlineLevel="1" x14ac:dyDescent="0.25">
      <c r="A56" s="24"/>
      <c r="B56" s="4" t="s">
        <v>964</v>
      </c>
      <c r="C56" s="9" t="str">
        <f>VLOOKUP(B56,'Наружные стены и модули'!Прайс,2,FALSE)</f>
        <v>м2</v>
      </c>
      <c r="D56" s="9">
        <f>15.3*8</f>
        <v>122.4</v>
      </c>
      <c r="E56" s="7">
        <f>VLOOKUP(B56,'Наружные стены и модули'!Прайс,3,FALSE)</f>
        <v>190</v>
      </c>
      <c r="F56" s="6">
        <f t="shared" ref="F56:F60" si="9">D56*E56</f>
        <v>23256</v>
      </c>
    </row>
    <row r="57" spans="1:6" outlineLevel="1" x14ac:dyDescent="0.25">
      <c r="A57" s="24"/>
      <c r="B57" s="4" t="s">
        <v>968</v>
      </c>
      <c r="C57" s="9" t="str">
        <f>VLOOKUP(B57,'Наружные стены и модули'!Прайс,2,FALSE)</f>
        <v>м2</v>
      </c>
      <c r="D57" s="9">
        <v>480</v>
      </c>
      <c r="E57" s="7">
        <f>VLOOKUP(B57,'Наружные стены и модули'!Прайс,3,FALSE)</f>
        <v>1850</v>
      </c>
      <c r="F57" s="6">
        <f t="shared" si="9"/>
        <v>888000</v>
      </c>
    </row>
    <row r="58" spans="1:6" outlineLevel="1" x14ac:dyDescent="0.25">
      <c r="A58" s="24"/>
      <c r="B58" s="4" t="s">
        <v>965</v>
      </c>
      <c r="C58" s="9" t="str">
        <f>VLOOKUP(B58,'Наружные стены и модули'!Прайс,2,FALSE)</f>
        <v>м3</v>
      </c>
      <c r="D58" s="9">
        <v>65</v>
      </c>
      <c r="E58" s="7">
        <f>VLOOKUP(B58,'Наружные стены и модули'!Прайс,3,FALSE)</f>
        <v>1500</v>
      </c>
      <c r="F58" s="6">
        <f t="shared" si="9"/>
        <v>97500</v>
      </c>
    </row>
    <row r="59" spans="1:6" outlineLevel="1" x14ac:dyDescent="0.25">
      <c r="A59" s="24"/>
      <c r="B59" s="4" t="s">
        <v>966</v>
      </c>
      <c r="C59" s="9" t="str">
        <f>VLOOKUP(B59,'Наружные стены и модули'!Прайс,2,FALSE)</f>
        <v>тн</v>
      </c>
      <c r="D59" s="56">
        <f>15.3*8*5.81/1000</f>
        <v>0.711144</v>
      </c>
      <c r="E59" s="7">
        <f>VLOOKUP(B59,'Наружные стены и модули'!Прайс,3,FALSE)</f>
        <v>3500</v>
      </c>
      <c r="F59" s="6">
        <f t="shared" si="9"/>
        <v>2489.0039999999999</v>
      </c>
    </row>
    <row r="60" spans="1:6" outlineLevel="1" x14ac:dyDescent="0.25">
      <c r="A60" s="24"/>
      <c r="B60" s="4" t="s">
        <v>85</v>
      </c>
      <c r="C60" s="9" t="str">
        <f>VLOOKUP(B60,'Наружные стены и модули'!Прайс,2,FALSE)</f>
        <v>м2</v>
      </c>
      <c r="D60" s="9">
        <f>D57</f>
        <v>480</v>
      </c>
      <c r="E60" s="7">
        <f>VLOOKUP(B60,'Наружные стены и модули'!Прайс,3,FALSE)</f>
        <v>160</v>
      </c>
      <c r="F60" s="6">
        <f t="shared" si="9"/>
        <v>76800</v>
      </c>
    </row>
    <row r="61" spans="1:6" x14ac:dyDescent="0.25">
      <c r="A61" s="24" t="e">
        <f>#REF!+1</f>
        <v>#REF!</v>
      </c>
      <c r="B61" s="5" t="s">
        <v>7</v>
      </c>
      <c r="C61" s="10"/>
      <c r="D61" s="10"/>
      <c r="E61" s="8"/>
      <c r="F61" s="11">
        <f>SUM(F54:F60)</f>
        <v>1368945.004</v>
      </c>
    </row>
    <row r="62" spans="1:6" ht="15.75" x14ac:dyDescent="0.25">
      <c r="A62" s="24" t="e">
        <f t="shared" si="0"/>
        <v>#REF!</v>
      </c>
      <c r="B62" s="25" t="s">
        <v>66</v>
      </c>
      <c r="C62" s="39"/>
      <c r="D62" s="26"/>
      <c r="E62" s="27"/>
      <c r="F62" s="37"/>
    </row>
    <row r="63" spans="1:6" outlineLevel="1" x14ac:dyDescent="0.25">
      <c r="A63" s="24" t="e">
        <f>A62+1</f>
        <v>#REF!</v>
      </c>
      <c r="B63" s="4" t="s">
        <v>968</v>
      </c>
      <c r="C63" s="9" t="str">
        <f>VLOOKUP(B63,Кровля!Прайс,2,FALSE)</f>
        <v>м2</v>
      </c>
      <c r="D63" s="9">
        <f>1.3*C5</f>
        <v>748.80000000000007</v>
      </c>
      <c r="E63" s="7">
        <f>VLOOKUP(B63,Кровля!Прайс,3,FALSE)</f>
        <v>1850</v>
      </c>
      <c r="F63" s="6">
        <f>D63*E63</f>
        <v>1385280.0000000002</v>
      </c>
    </row>
    <row r="64" spans="1:6" outlineLevel="1" x14ac:dyDescent="0.25">
      <c r="A64" s="24" t="e">
        <f t="shared" si="0"/>
        <v>#REF!</v>
      </c>
      <c r="B64" s="4" t="s">
        <v>30</v>
      </c>
      <c r="C64" s="9" t="str">
        <f>VLOOKUP(B64,Кровля!Прайс,2,FALSE)</f>
        <v>компл</v>
      </c>
      <c r="D64" s="9">
        <f>D63</f>
        <v>748.80000000000007</v>
      </c>
      <c r="E64" s="7">
        <f>VLOOKUP(B64,Кровля!Прайс,3,FALSE)</f>
        <v>190</v>
      </c>
      <c r="F64" s="6">
        <f t="shared" ref="F64:F67" si="10">D64*E64</f>
        <v>142272</v>
      </c>
    </row>
    <row r="65" spans="1:6" outlineLevel="1" x14ac:dyDescent="0.25">
      <c r="A65" s="24"/>
      <c r="B65" s="4" t="s">
        <v>936</v>
      </c>
      <c r="C65" s="9" t="str">
        <f>VLOOKUP(B65,Кровля!Прайс,2,FALSE)</f>
        <v>м</v>
      </c>
      <c r="D65" s="9">
        <f>50*2+14*2+4*4</f>
        <v>144</v>
      </c>
      <c r="E65" s="7">
        <f>VLOOKUP(B65,Кровля!Прайс,3,FALSE)</f>
        <v>210</v>
      </c>
      <c r="F65" s="6">
        <f t="shared" si="10"/>
        <v>30240</v>
      </c>
    </row>
    <row r="66" spans="1:6" outlineLevel="1" x14ac:dyDescent="0.25">
      <c r="A66" s="24" t="e">
        <f>A64+1</f>
        <v>#REF!</v>
      </c>
      <c r="B66" s="4" t="s">
        <v>938</v>
      </c>
      <c r="C66" s="9" t="str">
        <f>VLOOKUP(B66,Кровля!Прайс,2,FALSE)</f>
        <v>м2</v>
      </c>
      <c r="D66" s="9">
        <f>D63</f>
        <v>748.80000000000007</v>
      </c>
      <c r="E66" s="7">
        <f>VLOOKUP(B66,Кровля!Прайс,3,FALSE)</f>
        <v>180</v>
      </c>
      <c r="F66" s="6">
        <f t="shared" ref="F66" si="11">D66*E66</f>
        <v>134784</v>
      </c>
    </row>
    <row r="67" spans="1:6" outlineLevel="1" x14ac:dyDescent="0.25">
      <c r="A67" s="24"/>
      <c r="B67" s="4" t="s">
        <v>937</v>
      </c>
      <c r="C67" s="9" t="str">
        <f>VLOOKUP(B67,Кровля!Прайс,2,FALSE)</f>
        <v>м</v>
      </c>
      <c r="D67" s="9">
        <f>D65</f>
        <v>144</v>
      </c>
      <c r="E67" s="7">
        <f>VLOOKUP(B67,Кровля!Прайс,3,FALSE)</f>
        <v>120</v>
      </c>
      <c r="F67" s="6">
        <f t="shared" si="10"/>
        <v>17280</v>
      </c>
    </row>
    <row r="68" spans="1:6" x14ac:dyDescent="0.25">
      <c r="A68" s="24" t="e">
        <f>A66+1</f>
        <v>#REF!</v>
      </c>
      <c r="B68" s="5" t="s">
        <v>7</v>
      </c>
      <c r="C68" s="10"/>
      <c r="D68" s="10"/>
      <c r="E68" s="8"/>
      <c r="F68" s="11">
        <f>SUM(F63:F67)</f>
        <v>1709856.0000000002</v>
      </c>
    </row>
    <row r="69" spans="1:6" ht="15.75" x14ac:dyDescent="0.25">
      <c r="A69" s="24" t="e">
        <f t="shared" si="0"/>
        <v>#REF!</v>
      </c>
      <c r="B69" s="25" t="s">
        <v>68</v>
      </c>
      <c r="C69" s="26"/>
      <c r="D69" s="26"/>
      <c r="E69" s="27"/>
      <c r="F69" s="37"/>
    </row>
    <row r="70" spans="1:6" outlineLevel="1" x14ac:dyDescent="0.25">
      <c r="A70" s="24" t="e">
        <f t="shared" si="0"/>
        <v>#REF!</v>
      </c>
      <c r="B70" s="4" t="s">
        <v>95</v>
      </c>
      <c r="C70" s="9" t="str">
        <f>VLOOKUP(B70,Двери!Прайс,2,FALSE)</f>
        <v>шт</v>
      </c>
      <c r="D70" s="9">
        <v>4</v>
      </c>
      <c r="E70" s="7">
        <f>VLOOKUP(B70,Двери!Прайс,3,FALSE)</f>
        <v>17500</v>
      </c>
      <c r="F70" s="6">
        <f t="shared" ref="F70:F73" si="12">D70*E70</f>
        <v>70000</v>
      </c>
    </row>
    <row r="71" spans="1:6" outlineLevel="1" x14ac:dyDescent="0.25">
      <c r="A71" s="24" t="e">
        <f t="shared" si="0"/>
        <v>#REF!</v>
      </c>
      <c r="B71" s="4" t="s">
        <v>970</v>
      </c>
      <c r="C71" s="9" t="str">
        <f>VLOOKUP(B71,Двери!Прайс,2,FALSE)</f>
        <v>шт</v>
      </c>
      <c r="D71" s="9">
        <v>14</v>
      </c>
      <c r="E71" s="7">
        <f>VLOOKUP(B71,Двери!Прайс,3,FALSE)</f>
        <v>3850</v>
      </c>
      <c r="F71" s="6">
        <f t="shared" si="12"/>
        <v>53900</v>
      </c>
    </row>
    <row r="72" spans="1:6" outlineLevel="1" x14ac:dyDescent="0.25">
      <c r="A72" s="24"/>
      <c r="B72" s="4" t="s">
        <v>93</v>
      </c>
      <c r="C72" s="9" t="str">
        <f>VLOOKUP(B72,Двери!Прайс,2,FALSE)</f>
        <v>шт</v>
      </c>
      <c r="D72" s="9">
        <v>14</v>
      </c>
      <c r="E72" s="7">
        <f>VLOOKUP(B72,Двери!Прайс,3,FALSE)</f>
        <v>2100</v>
      </c>
      <c r="F72" s="6">
        <f t="shared" si="12"/>
        <v>29400</v>
      </c>
    </row>
    <row r="73" spans="1:6" outlineLevel="1" x14ac:dyDescent="0.25">
      <c r="A73" s="24"/>
      <c r="B73" s="4" t="s">
        <v>32</v>
      </c>
      <c r="C73" s="9" t="str">
        <f>VLOOKUP(B73,Двери!Прайс,2,FALSE)</f>
        <v>шт</v>
      </c>
      <c r="D73" s="9">
        <f>D70+D71+D72</f>
        <v>32</v>
      </c>
      <c r="E73" s="7">
        <f>VLOOKUP(B73,Двери!Прайс,3,FALSE)</f>
        <v>1000</v>
      </c>
      <c r="F73" s="6">
        <f t="shared" si="12"/>
        <v>32000</v>
      </c>
    </row>
    <row r="74" spans="1:6" x14ac:dyDescent="0.25">
      <c r="A74" s="24" t="e">
        <f>#REF!+1</f>
        <v>#REF!</v>
      </c>
      <c r="B74" s="5" t="s">
        <v>7</v>
      </c>
      <c r="C74" s="10"/>
      <c r="D74" s="10"/>
      <c r="E74" s="8"/>
      <c r="F74" s="11">
        <f>SUM(F70:F73)</f>
        <v>185300</v>
      </c>
    </row>
    <row r="75" spans="1:6" ht="16.5" customHeight="1" x14ac:dyDescent="0.25">
      <c r="A75" s="24" t="e">
        <f t="shared" si="0"/>
        <v>#REF!</v>
      </c>
      <c r="B75" s="25" t="s">
        <v>18</v>
      </c>
      <c r="C75" s="39"/>
      <c r="D75" s="39"/>
      <c r="E75" s="40"/>
      <c r="F75" s="37" t="s">
        <v>33</v>
      </c>
    </row>
    <row r="76" spans="1:6" ht="16.5" customHeight="1" outlineLevel="1" x14ac:dyDescent="0.25">
      <c r="A76" s="24" t="e">
        <f t="shared" si="0"/>
        <v>#REF!</v>
      </c>
      <c r="B76" s="4" t="s">
        <v>98</v>
      </c>
      <c r="C76" s="9" t="str">
        <f>VLOOKUP(B76,Окна!Прайс,2,FALSE)</f>
        <v>м2</v>
      </c>
      <c r="D76" s="9">
        <f>1.8*(1.5*16+0.9)</f>
        <v>44.82</v>
      </c>
      <c r="E76" s="7">
        <f>VLOOKUP(B76,Окна!Прайс,3,FALSE)</f>
        <v>4000</v>
      </c>
      <c r="F76" s="6">
        <f>D76*E76</f>
        <v>179280</v>
      </c>
    </row>
    <row r="77" spans="1:6" ht="16.5" customHeight="1" outlineLevel="1" x14ac:dyDescent="0.25">
      <c r="A77" s="24" t="e">
        <f>A76+1</f>
        <v>#REF!</v>
      </c>
      <c r="B77" s="4" t="s">
        <v>34</v>
      </c>
      <c r="C77" s="9" t="str">
        <f>VLOOKUP(B77,Окна!Прайс,2,FALSE)</f>
        <v>м2</v>
      </c>
      <c r="D77" s="9">
        <f>D76</f>
        <v>44.82</v>
      </c>
      <c r="E77" s="7">
        <f>VLOOKUP(B77,Окна!Прайс,3,FALSE)</f>
        <v>800</v>
      </c>
      <c r="F77" s="6">
        <f>D77*E77</f>
        <v>35856</v>
      </c>
    </row>
    <row r="78" spans="1:6" x14ac:dyDescent="0.25">
      <c r="A78" s="24" t="e">
        <f t="shared" si="0"/>
        <v>#REF!</v>
      </c>
      <c r="B78" s="5" t="s">
        <v>7</v>
      </c>
      <c r="C78" s="10"/>
      <c r="D78" s="10"/>
      <c r="E78" s="8"/>
      <c r="F78" s="11">
        <f>SUM(F76:F77)</f>
        <v>215136</v>
      </c>
    </row>
    <row r="79" spans="1:6" ht="16.5" customHeight="1" x14ac:dyDescent="0.25">
      <c r="A79" s="24" t="e">
        <f t="shared" si="0"/>
        <v>#REF!</v>
      </c>
      <c r="B79" s="25" t="s">
        <v>69</v>
      </c>
      <c r="C79" s="39"/>
      <c r="D79" s="39"/>
      <c r="E79" s="40"/>
      <c r="F79" s="37" t="s">
        <v>33</v>
      </c>
    </row>
    <row r="80" spans="1:6" ht="16.5" customHeight="1" outlineLevel="1" x14ac:dyDescent="0.25">
      <c r="A80" s="24" t="e">
        <f t="shared" si="0"/>
        <v>#REF!</v>
      </c>
      <c r="B80" s="4" t="s">
        <v>971</v>
      </c>
      <c r="C80" s="9" t="str">
        <f>VLOOKUP(B80,Ворота!Прайс,2,FALSE)</f>
        <v>шт</v>
      </c>
      <c r="D80" s="9">
        <v>1</v>
      </c>
      <c r="E80" s="7">
        <f>VLOOKUP(B80,Ворота!Прайс,3,FALSE)</f>
        <v>70191</v>
      </c>
      <c r="F80" s="6">
        <f>D80*E80</f>
        <v>70191</v>
      </c>
    </row>
    <row r="81" spans="1:10" ht="16.5" customHeight="1" outlineLevel="1" x14ac:dyDescent="0.25">
      <c r="A81" s="24" t="e">
        <f t="shared" si="0"/>
        <v>#REF!</v>
      </c>
      <c r="B81" s="4" t="s">
        <v>48</v>
      </c>
      <c r="C81" s="9" t="str">
        <f>VLOOKUP(B81,Ворота!Прайс,2,FALSE)</f>
        <v>шт</v>
      </c>
      <c r="D81" s="9">
        <v>2</v>
      </c>
      <c r="E81" s="7">
        <f>VLOOKUP(B81,Ворота!Прайс,3,FALSE)</f>
        <v>97487.5</v>
      </c>
      <c r="F81" s="6">
        <f>D81*E81</f>
        <v>194975</v>
      </c>
    </row>
    <row r="82" spans="1:10" ht="16.5" customHeight="1" outlineLevel="1" x14ac:dyDescent="0.25">
      <c r="A82" s="24" t="e">
        <f t="shared" ref="A82:A83" si="13">A81+1</f>
        <v>#REF!</v>
      </c>
      <c r="B82" s="4" t="s">
        <v>44</v>
      </c>
      <c r="C82" s="9" t="str">
        <f>VLOOKUP(B82,Ворота!Прайс,2,FALSE)</f>
        <v>шт</v>
      </c>
      <c r="D82" s="9">
        <f>D80+D81</f>
        <v>3</v>
      </c>
      <c r="E82" s="7">
        <f>VLOOKUP(B82,Ворота!Прайс,3,FALSE)</f>
        <v>8000</v>
      </c>
      <c r="F82" s="6">
        <f t="shared" ref="F82:F84" si="14">D82*E82</f>
        <v>24000</v>
      </c>
    </row>
    <row r="83" spans="1:10" ht="16.5" customHeight="1" outlineLevel="1" x14ac:dyDescent="0.25">
      <c r="A83" s="24" t="e">
        <f t="shared" si="13"/>
        <v>#REF!</v>
      </c>
      <c r="B83" s="4" t="s">
        <v>87</v>
      </c>
      <c r="C83" s="9" t="str">
        <f>VLOOKUP(B83,Ворота!Прайс,2,FALSE)</f>
        <v>-</v>
      </c>
      <c r="D83" s="9"/>
      <c r="E83" s="7">
        <f>VLOOKUP(B83,Ворота!Прайс,3,FALSE)</f>
        <v>0</v>
      </c>
      <c r="F83" s="6">
        <f t="shared" si="14"/>
        <v>0</v>
      </c>
    </row>
    <row r="84" spans="1:10" ht="16.5" customHeight="1" outlineLevel="1" x14ac:dyDescent="0.25">
      <c r="A84" s="24" t="e">
        <f>A80+1</f>
        <v>#REF!</v>
      </c>
      <c r="B84" s="4" t="s">
        <v>87</v>
      </c>
      <c r="C84" s="9" t="str">
        <f>VLOOKUP(B84,Ворота!Прайс,2,FALSE)</f>
        <v>-</v>
      </c>
      <c r="D84" s="9"/>
      <c r="E84" s="7">
        <f>VLOOKUP(B84,Ворота!Прайс,3,FALSE)</f>
        <v>0</v>
      </c>
      <c r="F84" s="6">
        <f t="shared" si="14"/>
        <v>0</v>
      </c>
    </row>
    <row r="85" spans="1:10" ht="16.5" customHeight="1" x14ac:dyDescent="0.25">
      <c r="A85" s="24" t="e">
        <f>A84+1</f>
        <v>#REF!</v>
      </c>
      <c r="B85" s="5" t="s">
        <v>7</v>
      </c>
      <c r="C85" s="10"/>
      <c r="D85" s="10"/>
      <c r="E85" s="8"/>
      <c r="F85" s="11">
        <f>SUM(F80:F84)</f>
        <v>289166</v>
      </c>
    </row>
    <row r="86" spans="1:10" ht="15.75" x14ac:dyDescent="0.25">
      <c r="A86" s="24" t="e">
        <f t="shared" ref="A86:A150" si="15">A85+1</f>
        <v>#REF!</v>
      </c>
      <c r="B86" s="25" t="s">
        <v>75</v>
      </c>
      <c r="C86" s="26"/>
      <c r="D86" s="26"/>
      <c r="E86" s="27"/>
      <c r="F86" s="37"/>
    </row>
    <row r="87" spans="1:10" outlineLevel="1" x14ac:dyDescent="0.25">
      <c r="A87" s="24" t="e">
        <f t="shared" si="15"/>
        <v>#REF!</v>
      </c>
      <c r="B87" s="47" t="s">
        <v>84</v>
      </c>
      <c r="C87" s="9" t="str">
        <f>VLOOKUP(B87,Перегородки!Прайс,2,FALSE)</f>
        <v>м2</v>
      </c>
      <c r="D87" s="58">
        <f>4.3*(30+42+29+20+29*6+18+35+36+18+70+51+51+47+16+23+71+30+30+29+14+17+17+16+16+54+17+11)*165/1000-D71*1.31*2.1-D72*0.71*2.1</f>
        <v>637.34099999999989</v>
      </c>
      <c r="E87" s="7">
        <f>VLOOKUP(B87,Перегородки!Прайс,3,FALSE)</f>
        <v>1100</v>
      </c>
      <c r="F87" s="50">
        <f>D87*E87</f>
        <v>701075.09999999986</v>
      </c>
    </row>
    <row r="88" spans="1:10" outlineLevel="1" x14ac:dyDescent="0.25">
      <c r="A88" s="24" t="e">
        <f t="shared" si="15"/>
        <v>#REF!</v>
      </c>
      <c r="B88" s="47" t="s">
        <v>86</v>
      </c>
      <c r="C88" s="9" t="str">
        <f>VLOOKUP(B88,Перегородки!Прайс,2,FALSE)</f>
        <v>м2</v>
      </c>
      <c r="D88" s="58">
        <f>D87</f>
        <v>637.34099999999989</v>
      </c>
      <c r="E88" s="7">
        <f>VLOOKUP(B88,Перегородки!Прайс,3,FALSE)</f>
        <v>120</v>
      </c>
      <c r="F88" s="50">
        <f t="shared" ref="F88" si="16">D88*E88</f>
        <v>76480.919999999984</v>
      </c>
    </row>
    <row r="89" spans="1:10" x14ac:dyDescent="0.25">
      <c r="A89" s="24" t="e">
        <f>#REF!+1</f>
        <v>#REF!</v>
      </c>
      <c r="B89" s="5" t="s">
        <v>7</v>
      </c>
      <c r="C89" s="10"/>
      <c r="D89" s="10"/>
      <c r="E89" s="8"/>
      <c r="F89" s="11">
        <f>SUM(F87:F88)</f>
        <v>777556.01999999979</v>
      </c>
    </row>
    <row r="90" spans="1:10" ht="15.75" x14ac:dyDescent="0.25">
      <c r="A90" s="24" t="e">
        <f t="shared" si="15"/>
        <v>#REF!</v>
      </c>
      <c r="B90" s="25" t="s">
        <v>71</v>
      </c>
      <c r="C90" s="26"/>
      <c r="D90" s="26"/>
      <c r="E90" s="27"/>
      <c r="F90" s="37"/>
    </row>
    <row r="91" spans="1:10" ht="18" customHeight="1" outlineLevel="1" x14ac:dyDescent="0.25">
      <c r="A91" s="24" t="e">
        <f>A80+1</f>
        <v>#REF!</v>
      </c>
      <c r="B91" s="62" t="s">
        <v>104</v>
      </c>
      <c r="C91" s="9"/>
      <c r="D91" s="9"/>
      <c r="E91" s="7"/>
      <c r="F91" s="6"/>
    </row>
    <row r="92" spans="1:10" ht="15.75" customHeight="1" outlineLevel="1" x14ac:dyDescent="0.25">
      <c r="A92" s="24" t="e">
        <f t="shared" si="15"/>
        <v>#REF!</v>
      </c>
      <c r="B92" s="129" t="s">
        <v>983</v>
      </c>
      <c r="C92" s="9" t="str">
        <f>VLOOKUP(B92,Отделка!Прайс,2,FALSE)</f>
        <v>м2</v>
      </c>
      <c r="D92" s="56">
        <f>4.3*165*((18+30+37+42+11+29+70+29*3+53+17+17+17+17+72+30+29+28+13+11)*2+(105+71+22+18+51+8+35+29+72+88+88+72+72))/1000+2.6*165*(29*4+20+20+36*2+18+58+38)/1000</f>
        <v>1556.4945</v>
      </c>
      <c r="E92" s="7">
        <f>VLOOKUP(B92,Отделка!Прайс,3,FALSE)</f>
        <v>300</v>
      </c>
      <c r="F92" s="6">
        <f t="shared" ref="F92:F109" si="17">D92*E92</f>
        <v>466948.35</v>
      </c>
      <c r="J92" t="s">
        <v>49</v>
      </c>
    </row>
    <row r="93" spans="1:10" outlineLevel="1" x14ac:dyDescent="0.25">
      <c r="A93" s="24" t="e">
        <f t="shared" si="15"/>
        <v>#REF!</v>
      </c>
      <c r="B93" s="4" t="s">
        <v>984</v>
      </c>
      <c r="C93" s="9" t="str">
        <f>VLOOKUP(B93,Отделка!Прайс,2,FALSE)</f>
        <v>м2</v>
      </c>
      <c r="D93" s="56">
        <f>D92*1.02</f>
        <v>1587.6243899999999</v>
      </c>
      <c r="E93" s="7">
        <f>VLOOKUP(B93,Отделка!Прайс,3,FALSE)</f>
        <v>90</v>
      </c>
      <c r="F93" s="6">
        <f t="shared" si="17"/>
        <v>142886.19509999998</v>
      </c>
    </row>
    <row r="94" spans="1:10" outlineLevel="1" x14ac:dyDescent="0.25">
      <c r="A94" s="24" t="e">
        <f t="shared" si="15"/>
        <v>#REF!</v>
      </c>
      <c r="B94" s="4" t="s">
        <v>985</v>
      </c>
      <c r="C94" s="9" t="str">
        <f>VLOOKUP(B94,Отделка!Прайс,2,FALSE)</f>
        <v>кг</v>
      </c>
      <c r="D94" s="56">
        <f>D92*0.12</f>
        <v>186.77933999999999</v>
      </c>
      <c r="E94" s="7">
        <f>VLOOKUP(B94,Отделка!Прайс,3,FALSE)</f>
        <v>70</v>
      </c>
      <c r="F94" s="6">
        <f t="shared" si="17"/>
        <v>13074.5538</v>
      </c>
    </row>
    <row r="95" spans="1:10" outlineLevel="1" x14ac:dyDescent="0.25">
      <c r="A95" s="24"/>
      <c r="B95" s="4" t="s">
        <v>986</v>
      </c>
      <c r="C95" s="9" t="str">
        <f>VLOOKUP(B95,Отделка!Прайс,2,FALSE)</f>
        <v>кг</v>
      </c>
      <c r="D95" s="56">
        <f>0.15*D92</f>
        <v>233.474175</v>
      </c>
      <c r="E95" s="7">
        <f>VLOOKUP(B95,Отделка!Прайс,3,FALSE)</f>
        <v>20</v>
      </c>
      <c r="F95" s="6">
        <f t="shared" si="17"/>
        <v>4669.4835000000003</v>
      </c>
    </row>
    <row r="96" spans="1:10" outlineLevel="1" x14ac:dyDescent="0.25">
      <c r="A96" s="24"/>
      <c r="B96" s="4" t="s">
        <v>987</v>
      </c>
      <c r="C96" s="9" t="str">
        <f>VLOOKUP(B96,Отделка!Прайс,2,FALSE)</f>
        <v>кг</v>
      </c>
      <c r="D96" s="56">
        <f>0.08*D92</f>
        <v>124.51956</v>
      </c>
      <c r="E96" s="7">
        <f>VLOOKUP(B96,Отделка!Прайс,3,FALSE)</f>
        <v>25</v>
      </c>
      <c r="F96" s="6">
        <f t="shared" si="17"/>
        <v>3112.989</v>
      </c>
    </row>
    <row r="97" spans="1:10" ht="27.75" customHeight="1" outlineLevel="1" x14ac:dyDescent="0.25">
      <c r="A97" s="24" t="e">
        <f>A84+1</f>
        <v>#REF!</v>
      </c>
      <c r="B97" s="4" t="s">
        <v>106</v>
      </c>
      <c r="C97" s="9" t="str">
        <f>VLOOKUP(B97,Отделка!Прайс,2,FALSE)</f>
        <v>м2</v>
      </c>
      <c r="D97" s="56">
        <f>D92</f>
        <v>1556.4945</v>
      </c>
      <c r="E97" s="7">
        <f>VLOOKUP(B97,Отделка!Прайс,3,FALSE)</f>
        <v>75</v>
      </c>
      <c r="F97" s="6">
        <f>D97*E97</f>
        <v>116737.08749999999</v>
      </c>
    </row>
    <row r="98" spans="1:10" outlineLevel="1" x14ac:dyDescent="0.25">
      <c r="A98" s="24"/>
      <c r="B98" s="129" t="s">
        <v>991</v>
      </c>
      <c r="C98" s="9" t="str">
        <f>VLOOKUP(B98,Отделка!Прайс,2,FALSE)</f>
        <v>м2</v>
      </c>
      <c r="D98" s="56">
        <f>1.7*165*(29*4+20+20+36*2+18+58+38)/1000</f>
        <v>95.930999999999997</v>
      </c>
      <c r="E98" s="7">
        <f>VLOOKUP(B98,Отделка!Прайс,3,FALSE)</f>
        <v>450</v>
      </c>
      <c r="F98" s="6">
        <f t="shared" si="17"/>
        <v>43168.95</v>
      </c>
    </row>
    <row r="99" spans="1:10" outlineLevel="1" x14ac:dyDescent="0.25">
      <c r="A99" s="24"/>
      <c r="B99" s="129" t="s">
        <v>989</v>
      </c>
      <c r="C99" s="9" t="str">
        <f>VLOOKUP(B99,Отделка!Прайс,2,FALSE)</f>
        <v>м2</v>
      </c>
      <c r="D99" s="56">
        <f>D98</f>
        <v>95.930999999999997</v>
      </c>
      <c r="E99" s="7">
        <f>VLOOKUP(B99,Отделка!Прайс,3,FALSE)</f>
        <v>450</v>
      </c>
      <c r="F99" s="6">
        <f t="shared" si="17"/>
        <v>43168.95</v>
      </c>
    </row>
    <row r="100" spans="1:10" outlineLevel="1" x14ac:dyDescent="0.25">
      <c r="A100" s="24"/>
      <c r="B100" s="129" t="s">
        <v>990</v>
      </c>
      <c r="C100" s="9" t="str">
        <f>VLOOKUP(B100,Отделка!Прайс,2,FALSE)</f>
        <v>кг</v>
      </c>
      <c r="D100" s="56">
        <f>D99*5</f>
        <v>479.65499999999997</v>
      </c>
      <c r="E100" s="7">
        <f>VLOOKUP(B100,Отделка!Прайс,3,FALSE)</f>
        <v>10</v>
      </c>
      <c r="F100" s="6">
        <f t="shared" si="17"/>
        <v>4796.5499999999993</v>
      </c>
    </row>
    <row r="101" spans="1:10" outlineLevel="1" x14ac:dyDescent="0.25">
      <c r="A101" s="24"/>
      <c r="B101" s="4" t="s">
        <v>987</v>
      </c>
      <c r="C101" s="9" t="str">
        <f>VLOOKUP(B101,Отделка!Прайс,2,FALSE)</f>
        <v>кг</v>
      </c>
      <c r="D101" s="56">
        <f>0.08*D98</f>
        <v>7.67448</v>
      </c>
      <c r="E101" s="7">
        <f>VLOOKUP(B101,Отделка!Прайс,3,FALSE)</f>
        <v>25</v>
      </c>
      <c r="F101" s="6">
        <f t="shared" ref="F101" si="18">D101*E101</f>
        <v>191.86199999999999</v>
      </c>
    </row>
    <row r="102" spans="1:10" outlineLevel="1" x14ac:dyDescent="0.25">
      <c r="A102" s="24" t="e">
        <f>#REF!+1</f>
        <v>#REF!</v>
      </c>
      <c r="B102" s="62" t="s">
        <v>107</v>
      </c>
      <c r="C102" s="9"/>
      <c r="D102" s="9"/>
      <c r="E102" s="7"/>
      <c r="F102" s="6"/>
    </row>
    <row r="103" spans="1:10" outlineLevel="1" x14ac:dyDescent="0.25">
      <c r="A103" s="24" t="e">
        <f t="shared" si="15"/>
        <v>#REF!</v>
      </c>
      <c r="B103" s="4" t="s">
        <v>116</v>
      </c>
      <c r="C103" s="9" t="str">
        <f>VLOOKUP(B103,Отделка!Прайс,2,FALSE)</f>
        <v>м2</v>
      </c>
      <c r="D103" s="9">
        <v>250</v>
      </c>
      <c r="E103" s="7">
        <f>VLOOKUP(B103,Отделка!Прайс,3,FALSE)</f>
        <v>430</v>
      </c>
      <c r="F103" s="6">
        <f t="shared" si="17"/>
        <v>107500</v>
      </c>
    </row>
    <row r="104" spans="1:10" outlineLevel="1" x14ac:dyDescent="0.25">
      <c r="A104" s="24" t="e">
        <f t="shared" si="15"/>
        <v>#REF!</v>
      </c>
      <c r="B104" s="4" t="s">
        <v>131</v>
      </c>
      <c r="C104" s="9" t="str">
        <f>VLOOKUP(B104,Отделка!Прайс,2,FALSE)</f>
        <v>м2</v>
      </c>
      <c r="D104" s="56">
        <f>(18.97+26.48+25.14)*1.01</f>
        <v>71.295900000000003</v>
      </c>
      <c r="E104" s="7">
        <f>VLOOKUP(B104,Отделка!Прайс,3,FALSE)</f>
        <v>539</v>
      </c>
      <c r="F104" s="6">
        <f t="shared" si="17"/>
        <v>38428.490100000003</v>
      </c>
    </row>
    <row r="105" spans="1:10" outlineLevel="1" x14ac:dyDescent="0.25">
      <c r="A105" s="24" t="e">
        <f t="shared" si="15"/>
        <v>#REF!</v>
      </c>
      <c r="B105" s="4" t="s">
        <v>996</v>
      </c>
      <c r="C105" s="9" t="str">
        <f>VLOOKUP(B105,Отделка!Прайс,2,FALSE)</f>
        <v>м2</v>
      </c>
      <c r="D105" s="56">
        <f>(6.34+4+10.05+3.8+9.83+17.05+44.7+10.27+10+17.2+17+14.1+6.45+14.35)*1.01</f>
        <v>186.9914</v>
      </c>
      <c r="E105" s="7">
        <f>VLOOKUP(B105,Отделка!Прайс,3,FALSE)</f>
        <v>450</v>
      </c>
      <c r="F105" s="136">
        <f t="shared" si="17"/>
        <v>84146.13</v>
      </c>
    </row>
    <row r="106" spans="1:10" outlineLevel="1" x14ac:dyDescent="0.25">
      <c r="A106" s="24"/>
      <c r="B106" s="4" t="s">
        <v>998</v>
      </c>
      <c r="C106" s="9" t="str">
        <f>VLOOKUP(B106,Отделка!Прайс,2,FALSE)</f>
        <v>кг</v>
      </c>
      <c r="D106" s="56">
        <f>(D104+D105)*5</f>
        <v>1291.4365</v>
      </c>
      <c r="E106" s="7">
        <f>VLOOKUP(B106,Отделка!Прайс,3,FALSE)</f>
        <v>10</v>
      </c>
      <c r="F106" s="136">
        <f t="shared" si="17"/>
        <v>12914.365</v>
      </c>
    </row>
    <row r="107" spans="1:10" outlineLevel="1" x14ac:dyDescent="0.25">
      <c r="A107" s="24"/>
      <c r="B107" s="4" t="s">
        <v>999</v>
      </c>
      <c r="C107" s="9" t="str">
        <f>VLOOKUP(B107,Отделка!Прайс,2,FALSE)</f>
        <v>м3</v>
      </c>
      <c r="D107" s="9">
        <f>D111*0.02</f>
        <v>1.4219999999999999</v>
      </c>
      <c r="E107" s="7">
        <f>VLOOKUP(B107,Отделка!Прайс,3,FALSE)</f>
        <v>4000</v>
      </c>
      <c r="F107" s="136">
        <f t="shared" si="17"/>
        <v>5688</v>
      </c>
    </row>
    <row r="108" spans="1:10" outlineLevel="1" x14ac:dyDescent="0.25">
      <c r="A108" s="24"/>
      <c r="B108" s="4" t="s">
        <v>1000</v>
      </c>
      <c r="C108" s="9" t="str">
        <f>VLOOKUP(B108,Отделка!Прайс,2,FALSE)</f>
        <v>кг</v>
      </c>
      <c r="D108" s="9">
        <f>D111*12</f>
        <v>853.19999999999993</v>
      </c>
      <c r="E108" s="7">
        <f>VLOOKUP(B108,Отделка!Прайс,3,FALSE)</f>
        <v>42</v>
      </c>
      <c r="F108" s="136">
        <f t="shared" si="17"/>
        <v>35834.399999999994</v>
      </c>
    </row>
    <row r="109" spans="1:10" outlineLevel="1" x14ac:dyDescent="0.25">
      <c r="A109" s="24" t="e">
        <f>A105+1</f>
        <v>#REF!</v>
      </c>
      <c r="B109" s="4" t="s">
        <v>108</v>
      </c>
      <c r="C109" s="9" t="str">
        <f>VLOOKUP(B109,Отделка!Прайс,2,FALSE)</f>
        <v>м2</v>
      </c>
      <c r="D109" s="9">
        <f>D103</f>
        <v>250</v>
      </c>
      <c r="E109" s="7">
        <f>VLOOKUP(B109,Отделка!Прайс,3,FALSE)</f>
        <v>100</v>
      </c>
      <c r="F109" s="6">
        <f t="shared" si="17"/>
        <v>25000</v>
      </c>
    </row>
    <row r="110" spans="1:10" ht="18" customHeight="1" outlineLevel="1" x14ac:dyDescent="0.25">
      <c r="A110" s="24" t="e">
        <f>#REF!+1</f>
        <v>#REF!</v>
      </c>
      <c r="B110" s="4" t="s">
        <v>114</v>
      </c>
      <c r="C110" s="9" t="str">
        <f>VLOOKUP(B110,Отделка!Прайс,2,FALSE)</f>
        <v>м2</v>
      </c>
      <c r="D110" s="9">
        <f>D104+D105</f>
        <v>258.28730000000002</v>
      </c>
      <c r="E110" s="7">
        <f>VLOOKUP(B110,Отделка!Прайс,3,FALSE)</f>
        <v>450</v>
      </c>
      <c r="F110" s="6">
        <f t="shared" ref="F110:F113" si="19">D110*E110</f>
        <v>116229.285</v>
      </c>
    </row>
    <row r="111" spans="1:10" outlineLevel="1" x14ac:dyDescent="0.25">
      <c r="A111" s="24" t="e">
        <f t="shared" si="15"/>
        <v>#REF!</v>
      </c>
      <c r="B111" s="4" t="s">
        <v>1001</v>
      </c>
      <c r="C111" s="9" t="str">
        <f>VLOOKUP(B111,Отделка!Прайс,2,FALSE)</f>
        <v>м2</v>
      </c>
      <c r="D111" s="9">
        <f>41.4+29.7</f>
        <v>71.099999999999994</v>
      </c>
      <c r="E111" s="7">
        <f>VLOOKUP(B111,Отделка!Прайс,3,FALSE)</f>
        <v>100</v>
      </c>
      <c r="F111" s="6">
        <f t="shared" si="19"/>
        <v>7109.9999999999991</v>
      </c>
      <c r="J111" t="s">
        <v>49</v>
      </c>
    </row>
    <row r="112" spans="1:10" outlineLevel="1" x14ac:dyDescent="0.25">
      <c r="A112" s="24" t="e">
        <f t="shared" si="15"/>
        <v>#REF!</v>
      </c>
      <c r="B112" s="62" t="s">
        <v>109</v>
      </c>
      <c r="C112" s="9"/>
      <c r="D112" s="9"/>
      <c r="E112" s="7"/>
      <c r="F112" s="6"/>
    </row>
    <row r="113" spans="1:10" ht="30" outlineLevel="1" x14ac:dyDescent="0.25">
      <c r="A113" s="24" t="e">
        <f t="shared" si="15"/>
        <v>#REF!</v>
      </c>
      <c r="B113" s="4" t="s">
        <v>127</v>
      </c>
      <c r="C113" s="9" t="str">
        <f>VLOOKUP(B113,Отделка!Прайс,2,FALSE)</f>
        <v>м2</v>
      </c>
      <c r="D113" s="9">
        <f>3.93+3.93+18.97+26.48+14.36+15+6.34+4+10.05+3.8+15+14*4+3.93+25.14+2.42+7.2+6.88+22+6.45+68.1</f>
        <v>319.97999999999996</v>
      </c>
      <c r="E113" s="7">
        <f>VLOOKUP(B113,Отделка!Прайс,3,FALSE)</f>
        <v>300</v>
      </c>
      <c r="F113" s="6">
        <f t="shared" si="19"/>
        <v>95993.999999999985</v>
      </c>
    </row>
    <row r="114" spans="1:10" ht="30" outlineLevel="1" x14ac:dyDescent="0.25">
      <c r="A114" s="24" t="e">
        <f>#REF!+1</f>
        <v>#REF!</v>
      </c>
      <c r="B114" s="4" t="s">
        <v>133</v>
      </c>
      <c r="C114" s="9" t="str">
        <f>VLOOKUP(B114,Отделка!Прайс,2,FALSE)</f>
        <v>м2</v>
      </c>
      <c r="D114" s="9">
        <f>D113</f>
        <v>319.97999999999996</v>
      </c>
      <c r="E114" s="7">
        <f>VLOOKUP(B114,Отделка!Прайс,3,FALSE)</f>
        <v>75</v>
      </c>
      <c r="F114" s="6">
        <f t="shared" ref="F114:F115" si="20">D114*E114</f>
        <v>23998.499999999996</v>
      </c>
      <c r="J114" t="s">
        <v>49</v>
      </c>
    </row>
    <row r="115" spans="1:10" outlineLevel="1" x14ac:dyDescent="0.25">
      <c r="A115" s="24" t="e">
        <f t="shared" si="15"/>
        <v>#REF!</v>
      </c>
      <c r="B115" s="4" t="s">
        <v>110</v>
      </c>
      <c r="C115" s="9" t="str">
        <f>VLOOKUP(B115,Отделка!Прайс,2,FALSE)</f>
        <v>м2</v>
      </c>
      <c r="D115" s="9">
        <f>D114</f>
        <v>319.97999999999996</v>
      </c>
      <c r="E115" s="7">
        <f>VLOOKUP(B115,Отделка!Прайс,3,FALSE)</f>
        <v>180</v>
      </c>
      <c r="F115" s="6">
        <f t="shared" si="20"/>
        <v>57596.399999999994</v>
      </c>
    </row>
    <row r="116" spans="1:10" x14ac:dyDescent="0.25">
      <c r="A116" s="24" t="e">
        <f>#REF!+1</f>
        <v>#REF!</v>
      </c>
      <c r="B116" s="5" t="s">
        <v>7</v>
      </c>
      <c r="C116" s="10"/>
      <c r="D116" s="10"/>
      <c r="E116" s="8"/>
      <c r="F116" s="11">
        <f>SUM(F91:F115)</f>
        <v>1449194.5409999997</v>
      </c>
    </row>
    <row r="117" spans="1:10" ht="15.75" x14ac:dyDescent="0.25">
      <c r="A117" s="24" t="e">
        <f t="shared" si="15"/>
        <v>#REF!</v>
      </c>
      <c r="B117" s="25" t="s">
        <v>72</v>
      </c>
      <c r="C117" s="26"/>
      <c r="D117" s="26"/>
      <c r="E117" s="27"/>
      <c r="F117" s="37"/>
    </row>
    <row r="118" spans="1:10" ht="17.25" customHeight="1" outlineLevel="1" x14ac:dyDescent="0.25">
      <c r="A118" s="24" t="e">
        <f t="shared" si="15"/>
        <v>#REF!</v>
      </c>
      <c r="B118" s="4" t="s">
        <v>974</v>
      </c>
      <c r="C118" s="9" t="str">
        <f>VLOOKUP(B118,'Лестницы, крыльца'!Прайс,2,FALSE)</f>
        <v>шт</v>
      </c>
      <c r="D118" s="9">
        <v>2</v>
      </c>
      <c r="E118" s="7">
        <f>VLOOKUP(B118,'Лестницы, крыльца'!Прайс,3,FALSE)</f>
        <v>12927.599999999999</v>
      </c>
      <c r="F118" s="6">
        <f t="shared" ref="F118" si="21">D118*E118</f>
        <v>25855.199999999997</v>
      </c>
    </row>
    <row r="119" spans="1:10" outlineLevel="1" x14ac:dyDescent="0.25">
      <c r="A119" s="24" t="e">
        <f t="shared" si="15"/>
        <v>#REF!</v>
      </c>
      <c r="B119" s="4" t="s">
        <v>975</v>
      </c>
      <c r="C119" s="9" t="str">
        <f>VLOOKUP(B119,'Лестницы, крыльца'!Прайс,2,FALSE)</f>
        <v>шт</v>
      </c>
      <c r="D119" s="9">
        <v>2</v>
      </c>
      <c r="E119" s="7">
        <f>VLOOKUP(B119,'Лестницы, крыльца'!Прайс,3,FALSE)</f>
        <v>38782.799999999996</v>
      </c>
      <c r="F119" s="6">
        <f>D119*E119</f>
        <v>77565.599999999991</v>
      </c>
      <c r="J119" t="s">
        <v>49</v>
      </c>
    </row>
    <row r="120" spans="1:10" outlineLevel="1" x14ac:dyDescent="0.25">
      <c r="A120" s="24" t="e">
        <f t="shared" si="15"/>
        <v>#REF!</v>
      </c>
      <c r="B120" s="4" t="s">
        <v>976</v>
      </c>
      <c r="C120" s="9" t="str">
        <f>VLOOKUP(B120,'Лестницы, крыльца'!Прайс,2,FALSE)</f>
        <v>тн</v>
      </c>
      <c r="D120" s="9">
        <f>2*0.25+2*0.75</f>
        <v>2</v>
      </c>
      <c r="E120" s="7">
        <f>VLOOKUP(B120,'Лестницы, крыльца'!Прайс,3,FALSE)</f>
        <v>7000</v>
      </c>
      <c r="F120" s="6">
        <f>D120*E120</f>
        <v>14000</v>
      </c>
    </row>
    <row r="121" spans="1:10" x14ac:dyDescent="0.25">
      <c r="A121" s="24" t="e">
        <f>#REF!+1</f>
        <v>#REF!</v>
      </c>
      <c r="B121" s="5" t="s">
        <v>7</v>
      </c>
      <c r="C121" s="9"/>
      <c r="D121" s="10"/>
      <c r="E121" s="8"/>
      <c r="F121" s="11">
        <f>SUM(F118:F120)</f>
        <v>117420.79999999999</v>
      </c>
    </row>
    <row r="122" spans="1:10" ht="15.75" x14ac:dyDescent="0.25">
      <c r="A122" s="24" t="e">
        <f t="shared" si="15"/>
        <v>#REF!</v>
      </c>
      <c r="B122" s="25" t="s">
        <v>70</v>
      </c>
      <c r="C122" s="26"/>
      <c r="D122" s="26"/>
      <c r="E122" s="27"/>
      <c r="F122" s="38"/>
    </row>
    <row r="123" spans="1:10" ht="29.25" customHeight="1" outlineLevel="1" x14ac:dyDescent="0.25">
      <c r="A123" s="24" t="e">
        <f t="shared" si="15"/>
        <v>#REF!</v>
      </c>
      <c r="B123" s="4" t="s">
        <v>29</v>
      </c>
      <c r="C123" s="9" t="str">
        <f>VLOOKUP(B123,'БУ, отмостка, цоко'!Прайс,2,FALSE)</f>
        <v>м3</v>
      </c>
      <c r="D123" s="56">
        <f>(49*2+13*2)*1*0.1</f>
        <v>12.4</v>
      </c>
      <c r="E123" s="7">
        <f>VLOOKUP(B123,'БУ, отмостка, цоко'!Прайс,3,FALSE)</f>
        <v>600</v>
      </c>
      <c r="F123" s="6">
        <f t="shared" ref="F123" si="22">D123*E123</f>
        <v>7440</v>
      </c>
    </row>
    <row r="124" spans="1:10" outlineLevel="1" x14ac:dyDescent="0.25">
      <c r="A124" s="24" t="e">
        <f t="shared" si="15"/>
        <v>#REF!</v>
      </c>
      <c r="B124" s="4" t="s">
        <v>46</v>
      </c>
      <c r="C124" s="9" t="str">
        <f>VLOOKUP(B124,'БУ, отмостка, цоко'!Прайс,2,FALSE)</f>
        <v>м3</v>
      </c>
      <c r="D124" s="56">
        <f>D123</f>
        <v>12.4</v>
      </c>
      <c r="E124" s="7">
        <f>VLOOKUP(B124,'БУ, отмостка, цоко'!Прайс,3,FALSE)</f>
        <v>5000</v>
      </c>
      <c r="F124" s="6">
        <f>D124*E124</f>
        <v>62000</v>
      </c>
      <c r="J124" t="s">
        <v>49</v>
      </c>
    </row>
    <row r="125" spans="1:10" outlineLevel="1" x14ac:dyDescent="0.25">
      <c r="A125" s="24" t="e">
        <f>A127+1</f>
        <v>#REF!</v>
      </c>
      <c r="B125" s="4" t="s">
        <v>26</v>
      </c>
      <c r="C125" s="9" t="str">
        <f>VLOOKUP(B125,'БУ, отмостка, цоко'!Прайс,2,FALSE)</f>
        <v>м3</v>
      </c>
      <c r="D125" s="56">
        <f>D124</f>
        <v>12.4</v>
      </c>
      <c r="E125" s="7">
        <f>VLOOKUP(B125,'БУ, отмостка, цоко'!Прайс,3,FALSE)</f>
        <v>4000</v>
      </c>
      <c r="F125" s="16">
        <f t="shared" ref="F125" si="23">D125*E125</f>
        <v>49600</v>
      </c>
    </row>
    <row r="126" spans="1:10" ht="30" outlineLevel="1" x14ac:dyDescent="0.25">
      <c r="A126" s="24"/>
      <c r="B126" s="4" t="s">
        <v>55</v>
      </c>
      <c r="C126" s="9" t="str">
        <f>VLOOKUP(B126,'БУ, отмостка, цоко'!Прайс,2,FALSE)</f>
        <v>м2</v>
      </c>
      <c r="D126" s="56">
        <f>(48*2+12*2-1.5*2-2.7*2-3.6)*0.5</f>
        <v>54</v>
      </c>
      <c r="E126" s="7">
        <f>VLOOKUP(B126,'БУ, отмостка, цоко'!Прайс,3,FALSE)</f>
        <v>400</v>
      </c>
      <c r="F126" s="6">
        <f t="shared" ref="F126:F130" si="24">D126*E126</f>
        <v>21600</v>
      </c>
    </row>
    <row r="127" spans="1:10" outlineLevel="1" x14ac:dyDescent="0.25">
      <c r="A127" s="24" t="e">
        <f>#REF!+1</f>
        <v>#REF!</v>
      </c>
      <c r="B127" s="4" t="s">
        <v>60</v>
      </c>
      <c r="C127" s="9" t="str">
        <f>VLOOKUP(B127,'БУ, отмостка, цоко'!Прайс,2,FALSE)</f>
        <v>м3</v>
      </c>
      <c r="D127" s="56">
        <f>D123</f>
        <v>12.4</v>
      </c>
      <c r="E127" s="7">
        <f>VLOOKUP(B127,'БУ, отмостка, цоко'!Прайс,3,FALSE)</f>
        <v>250</v>
      </c>
      <c r="F127" s="6">
        <f>D127*E127</f>
        <v>3100</v>
      </c>
    </row>
    <row r="128" spans="1:10" outlineLevel="1" x14ac:dyDescent="0.25">
      <c r="A128" s="24" t="e">
        <f>#REF!+1</f>
        <v>#REF!</v>
      </c>
      <c r="B128" s="4" t="s">
        <v>59</v>
      </c>
      <c r="C128" s="9" t="str">
        <f>VLOOKUP(B128,'БУ, отмостка, цоко'!Прайс,2,FALSE)</f>
        <v>м3</v>
      </c>
      <c r="D128" s="56">
        <f>D124</f>
        <v>12.4</v>
      </c>
      <c r="E128" s="7">
        <f>VLOOKUP(B128,'БУ, отмостка, цоко'!Прайс,3,FALSE)</f>
        <v>500</v>
      </c>
      <c r="F128" s="6">
        <f t="shared" ref="F128" si="25">D128*E128</f>
        <v>6200</v>
      </c>
    </row>
    <row r="129" spans="1:6" outlineLevel="1" x14ac:dyDescent="0.25">
      <c r="A129" s="24" t="e">
        <f>A125+1</f>
        <v>#REF!</v>
      </c>
      <c r="B129" s="4" t="s">
        <v>58</v>
      </c>
      <c r="C129" s="9" t="str">
        <f>VLOOKUP(B129,'БУ, отмостка, цоко'!Прайс,2,FALSE)</f>
        <v>м3</v>
      </c>
      <c r="D129" s="56">
        <f>D125</f>
        <v>12.4</v>
      </c>
      <c r="E129" s="7">
        <f>VLOOKUP(B129,'БУ, отмостка, цоко'!Прайс,3,FALSE)</f>
        <v>2000</v>
      </c>
      <c r="F129" s="6">
        <f>D129*E129</f>
        <v>24800</v>
      </c>
    </row>
    <row r="130" spans="1:6" outlineLevel="1" x14ac:dyDescent="0.25">
      <c r="A130" s="24"/>
      <c r="B130" s="4" t="s">
        <v>38</v>
      </c>
      <c r="C130" s="9" t="str">
        <f>VLOOKUP(B130,'БУ, отмостка, цоко'!Прайс,2,FALSE)</f>
        <v>м2</v>
      </c>
      <c r="D130" s="56">
        <f>D126</f>
        <v>54</v>
      </c>
      <c r="E130" s="7">
        <f>VLOOKUP(B130,'БУ, отмостка, цоко'!Прайс,3,FALSE)</f>
        <v>120</v>
      </c>
      <c r="F130" s="6">
        <f t="shared" si="24"/>
        <v>6480</v>
      </c>
    </row>
    <row r="131" spans="1:6" x14ac:dyDescent="0.25">
      <c r="A131" s="24" t="e">
        <f>A129+1</f>
        <v>#REF!</v>
      </c>
      <c r="B131" s="5" t="s">
        <v>7</v>
      </c>
      <c r="C131" s="10"/>
      <c r="D131" s="10"/>
      <c r="E131" s="8"/>
      <c r="F131" s="11">
        <f>SUM(F123:F130)</f>
        <v>181220</v>
      </c>
    </row>
    <row r="132" spans="1:6" ht="15.75" x14ac:dyDescent="0.25">
      <c r="A132" s="24" t="e">
        <f t="shared" si="15"/>
        <v>#REF!</v>
      </c>
      <c r="B132" s="25" t="s">
        <v>15</v>
      </c>
      <c r="C132" s="26"/>
      <c r="D132" s="26"/>
      <c r="E132" s="27"/>
      <c r="F132" s="28">
        <f>SUM(F13:F131)/2</f>
        <v>9462370.3650000002</v>
      </c>
    </row>
    <row r="133" spans="1:6" ht="15.75" x14ac:dyDescent="0.25">
      <c r="A133" s="24" t="e">
        <f t="shared" si="15"/>
        <v>#REF!</v>
      </c>
      <c r="B133" s="29" t="s">
        <v>977</v>
      </c>
      <c r="C133" s="26" t="s">
        <v>103</v>
      </c>
      <c r="D133" s="30"/>
      <c r="E133" s="60">
        <v>3</v>
      </c>
      <c r="F133" s="31">
        <f>F132*E133%</f>
        <v>283871.11095</v>
      </c>
    </row>
    <row r="134" spans="1:6" ht="18.75" x14ac:dyDescent="0.25">
      <c r="A134" s="24" t="e">
        <f t="shared" si="15"/>
        <v>#REF!</v>
      </c>
      <c r="B134" s="32" t="s">
        <v>35</v>
      </c>
      <c r="C134" s="33"/>
      <c r="D134" s="33"/>
      <c r="E134" s="34"/>
      <c r="F134" s="35">
        <f>F132+F133</f>
        <v>9746241.4759500008</v>
      </c>
    </row>
    <row r="135" spans="1:6" ht="15.75" x14ac:dyDescent="0.25">
      <c r="A135" s="24" t="e">
        <f t="shared" si="15"/>
        <v>#REF!</v>
      </c>
      <c r="B135" s="41" t="s">
        <v>73</v>
      </c>
      <c r="C135" s="26" t="str">
        <f>VLOOKUP(B135,проект,2,FALSE)</f>
        <v>%</v>
      </c>
      <c r="D135" s="42"/>
      <c r="E135" s="60">
        <v>6</v>
      </c>
      <c r="F135" s="31">
        <f>F134*E135%</f>
        <v>584774.48855700006</v>
      </c>
    </row>
    <row r="136" spans="1:6" ht="15.75" x14ac:dyDescent="0.25">
      <c r="A136" s="24" t="e">
        <f t="shared" si="15"/>
        <v>#REF!</v>
      </c>
      <c r="B136" s="43" t="s">
        <v>74</v>
      </c>
      <c r="C136" s="26"/>
      <c r="D136" s="26"/>
      <c r="E136" s="27"/>
      <c r="F136" s="37"/>
    </row>
    <row r="137" spans="1:6" ht="15.75" outlineLevel="1" x14ac:dyDescent="0.25">
      <c r="A137" s="24" t="e">
        <f t="shared" si="15"/>
        <v>#REF!</v>
      </c>
      <c r="B137" s="20" t="s">
        <v>40</v>
      </c>
      <c r="C137" s="9" t="s">
        <v>12</v>
      </c>
      <c r="D137" s="120">
        <f>C5</f>
        <v>576</v>
      </c>
      <c r="E137" s="7">
        <v>1200</v>
      </c>
      <c r="F137" s="6">
        <f>D137*E137</f>
        <v>691200</v>
      </c>
    </row>
    <row r="138" spans="1:6" ht="15.75" outlineLevel="1" x14ac:dyDescent="0.25">
      <c r="A138" s="24" t="e">
        <f t="shared" si="15"/>
        <v>#REF!</v>
      </c>
      <c r="B138" s="20" t="s">
        <v>41</v>
      </c>
      <c r="C138" s="9" t="s">
        <v>12</v>
      </c>
      <c r="D138" s="120">
        <f>D137</f>
        <v>576</v>
      </c>
      <c r="E138" s="7">
        <f>E137*40%</f>
        <v>480</v>
      </c>
      <c r="F138" s="6">
        <f t="shared" ref="F138:F144" si="26">D138*E138</f>
        <v>276480</v>
      </c>
    </row>
    <row r="139" spans="1:6" ht="15.75" outlineLevel="1" x14ac:dyDescent="0.25">
      <c r="A139" s="24" t="e">
        <f t="shared" si="15"/>
        <v>#REF!</v>
      </c>
      <c r="B139" s="20" t="s">
        <v>56</v>
      </c>
      <c r="C139" s="9" t="s">
        <v>12</v>
      </c>
      <c r="D139" s="120">
        <f t="shared" ref="D139:D144" si="27">D138</f>
        <v>576</v>
      </c>
      <c r="E139" s="7">
        <v>1000</v>
      </c>
      <c r="F139" s="6">
        <f t="shared" si="26"/>
        <v>576000</v>
      </c>
    </row>
    <row r="140" spans="1:6" ht="15.75" outlineLevel="1" x14ac:dyDescent="0.25">
      <c r="A140" s="24" t="e">
        <f t="shared" si="15"/>
        <v>#REF!</v>
      </c>
      <c r="B140" s="20" t="s">
        <v>57</v>
      </c>
      <c r="C140" s="9" t="s">
        <v>12</v>
      </c>
      <c r="D140" s="120">
        <f t="shared" si="27"/>
        <v>576</v>
      </c>
      <c r="E140" s="7">
        <f>E139*30%</f>
        <v>300</v>
      </c>
      <c r="F140" s="6">
        <f t="shared" si="26"/>
        <v>172800</v>
      </c>
    </row>
    <row r="141" spans="1:6" ht="15.75" outlineLevel="1" x14ac:dyDescent="0.25">
      <c r="A141" s="24" t="e">
        <f t="shared" si="15"/>
        <v>#REF!</v>
      </c>
      <c r="B141" s="20" t="s">
        <v>981</v>
      </c>
      <c r="C141" s="9" t="s">
        <v>12</v>
      </c>
      <c r="D141" s="120">
        <f t="shared" si="27"/>
        <v>576</v>
      </c>
      <c r="E141" s="121">
        <v>950</v>
      </c>
      <c r="F141" s="6">
        <f t="shared" si="26"/>
        <v>547200</v>
      </c>
    </row>
    <row r="142" spans="1:6" ht="15.75" outlineLevel="1" x14ac:dyDescent="0.25">
      <c r="A142" s="24" t="e">
        <f t="shared" si="15"/>
        <v>#REF!</v>
      </c>
      <c r="B142" s="20" t="s">
        <v>982</v>
      </c>
      <c r="C142" s="9" t="s">
        <v>12</v>
      </c>
      <c r="D142" s="120">
        <f t="shared" si="27"/>
        <v>576</v>
      </c>
      <c r="E142" s="7">
        <f>E141*40%</f>
        <v>380</v>
      </c>
      <c r="F142" s="6">
        <f t="shared" si="26"/>
        <v>218880</v>
      </c>
    </row>
    <row r="143" spans="1:6" ht="15.75" outlineLevel="1" x14ac:dyDescent="0.25">
      <c r="A143" s="24" t="e">
        <f t="shared" si="15"/>
        <v>#REF!</v>
      </c>
      <c r="B143" s="22" t="s">
        <v>42</v>
      </c>
      <c r="C143" s="9" t="s">
        <v>12</v>
      </c>
      <c r="D143" s="120">
        <f t="shared" si="27"/>
        <v>576</v>
      </c>
      <c r="E143" s="7">
        <v>250</v>
      </c>
      <c r="F143" s="6">
        <f t="shared" si="26"/>
        <v>144000</v>
      </c>
    </row>
    <row r="144" spans="1:6" ht="15.75" outlineLevel="1" x14ac:dyDescent="0.25">
      <c r="A144" s="24" t="e">
        <f t="shared" si="15"/>
        <v>#REF!</v>
      </c>
      <c r="B144" s="22" t="s">
        <v>43</v>
      </c>
      <c r="C144" s="9" t="s">
        <v>12</v>
      </c>
      <c r="D144" s="120">
        <f t="shared" si="27"/>
        <v>576</v>
      </c>
      <c r="E144" s="7">
        <f>E143*50%</f>
        <v>125</v>
      </c>
      <c r="F144" s="6">
        <f t="shared" si="26"/>
        <v>72000</v>
      </c>
    </row>
    <row r="145" spans="1:6" ht="15.75" x14ac:dyDescent="0.25">
      <c r="A145" s="24" t="e">
        <f>A144+1</f>
        <v>#REF!</v>
      </c>
      <c r="B145" s="23" t="s">
        <v>7</v>
      </c>
      <c r="C145" s="9"/>
      <c r="D145" s="9"/>
      <c r="E145" s="7"/>
      <c r="F145" s="12">
        <f>SUM(F137:F144)</f>
        <v>2698560</v>
      </c>
    </row>
    <row r="146" spans="1:6" ht="15.75" x14ac:dyDescent="0.25">
      <c r="A146" s="24" t="e">
        <f t="shared" si="15"/>
        <v>#REF!</v>
      </c>
      <c r="B146" s="43" t="s">
        <v>89</v>
      </c>
      <c r="C146" s="26" t="str">
        <f>VLOOKUP(B146,проект,2,FALSE)</f>
        <v>м2</v>
      </c>
      <c r="D146" s="26">
        <f>D144</f>
        <v>576</v>
      </c>
      <c r="E146" s="27">
        <f>VLOOKUP(B146,проект,3,FALSE)</f>
        <v>950</v>
      </c>
      <c r="F146" s="31">
        <f>D146*E146</f>
        <v>547200</v>
      </c>
    </row>
    <row r="147" spans="1:6" ht="15.75" x14ac:dyDescent="0.25">
      <c r="A147" s="24" t="e">
        <f t="shared" si="15"/>
        <v>#REF!</v>
      </c>
      <c r="B147" s="25" t="s">
        <v>52</v>
      </c>
      <c r="C147" s="26" t="s">
        <v>23</v>
      </c>
      <c r="D147" s="26">
        <f>2.5*30*6</f>
        <v>450</v>
      </c>
      <c r="E147" s="27">
        <v>2000</v>
      </c>
      <c r="F147" s="31">
        <f>D147*E147</f>
        <v>900000</v>
      </c>
    </row>
    <row r="148" spans="1:6" ht="15.75" x14ac:dyDescent="0.25">
      <c r="A148" s="24" t="e">
        <f t="shared" si="15"/>
        <v>#REF!</v>
      </c>
      <c r="B148" s="25" t="s">
        <v>978</v>
      </c>
      <c r="C148" s="26" t="s">
        <v>137</v>
      </c>
      <c r="D148" s="26">
        <v>11</v>
      </c>
      <c r="E148" s="27">
        <v>0</v>
      </c>
      <c r="F148" s="31">
        <f>D148*E148</f>
        <v>0</v>
      </c>
    </row>
    <row r="149" spans="1:6" ht="46.5" x14ac:dyDescent="0.25">
      <c r="A149" s="24" t="e">
        <f t="shared" si="15"/>
        <v>#REF!</v>
      </c>
      <c r="B149" s="45" t="s">
        <v>8</v>
      </c>
      <c r="C149" s="115">
        <f>F134+F135+F147+F145+F146+F148</f>
        <v>14476775.964507001</v>
      </c>
      <c r="D149" s="116"/>
      <c r="E149" s="116"/>
      <c r="F149" s="117"/>
    </row>
    <row r="150" spans="1:6" ht="32.25" x14ac:dyDescent="0.3">
      <c r="A150" s="24" t="e">
        <f t="shared" si="15"/>
        <v>#REF!</v>
      </c>
      <c r="B150" s="25" t="s">
        <v>979</v>
      </c>
      <c r="C150" s="111" t="s">
        <v>980</v>
      </c>
      <c r="D150" s="111"/>
      <c r="E150" s="44" t="s">
        <v>39</v>
      </c>
      <c r="F150" s="31">
        <f>C149/C5</f>
        <v>25133.291605046878</v>
      </c>
    </row>
    <row r="151" spans="1:6" x14ac:dyDescent="0.25">
      <c r="C151"/>
      <c r="D151"/>
      <c r="F151" s="1"/>
    </row>
    <row r="152" spans="1:6" x14ac:dyDescent="0.25">
      <c r="B152" s="110"/>
      <c r="C152" s="110"/>
      <c r="D152" s="110"/>
      <c r="E152" s="110"/>
      <c r="F152" s="110"/>
    </row>
  </sheetData>
  <autoFilter ref="B12:F150">
    <filterColumn colId="1" showButton="0"/>
    <filterColumn colId="2" showButton="0"/>
    <filterColumn colId="3" showButton="0"/>
  </autoFilter>
  <mergeCells count="16">
    <mergeCell ref="B152:F152"/>
    <mergeCell ref="C2:F2"/>
    <mergeCell ref="C3:F3"/>
    <mergeCell ref="C4:F4"/>
    <mergeCell ref="C5:F5"/>
    <mergeCell ref="C150:D150"/>
    <mergeCell ref="C10:F10"/>
    <mergeCell ref="C11:F11"/>
    <mergeCell ref="C12:F12"/>
    <mergeCell ref="C149:F149"/>
    <mergeCell ref="C6:F6"/>
    <mergeCell ref="C7:F7"/>
    <mergeCell ref="C9:F9"/>
    <mergeCell ref="C8:F8"/>
    <mergeCell ref="A1:B1"/>
    <mergeCell ref="C1:F1"/>
  </mergeCells>
  <dataValidations count="14">
    <dataValidation type="list" allowBlank="1" showInputMessage="1" showErrorMessage="1" sqref="B21:B27 B30:B36">
      <formula1>Фундаменты</formula1>
    </dataValidation>
    <dataValidation type="list" allowBlank="1" showInputMessage="1" showErrorMessage="1" sqref="B13 B20 B29 B38 B47 B53 B62 B75 B79 B86 B69 B117 B122 B132:B136 B146:B150 B90">
      <formula1>прочие</formula1>
    </dataValidation>
    <dataValidation type="list" allowBlank="1" showInputMessage="1" showErrorMessage="1" sqref="B14:B18">
      <formula1>земляные</formula1>
    </dataValidation>
    <dataValidation type="list" allowBlank="1" showInputMessage="1" showErrorMessage="1" sqref="B39:B45">
      <formula1>полы</formula1>
    </dataValidation>
    <dataValidation type="list" allowBlank="1" showInputMessage="1" showErrorMessage="1" sqref="B80:B84">
      <formula1>ворота</formula1>
    </dataValidation>
    <dataValidation type="list" allowBlank="1" showInputMessage="1" showErrorMessage="1" sqref="B87:B88">
      <formula1>перегородки</formula1>
    </dataValidation>
    <dataValidation type="list" allowBlank="1" showInputMessage="1" showErrorMessage="1" sqref="B118:B120">
      <formula1>лестницы</formula1>
    </dataValidation>
    <dataValidation type="list" allowBlank="1" showInputMessage="1" showErrorMessage="1" sqref="B48:B51">
      <formula1>металлокаркас</formula1>
    </dataValidation>
    <dataValidation type="list" allowBlank="1" showInputMessage="1" showErrorMessage="1" sqref="B63:B67">
      <formula1>кровля</formula1>
    </dataValidation>
    <dataValidation type="list" allowBlank="1" showInputMessage="1" showErrorMessage="1" sqref="B70:B73">
      <formula1>двери</formula1>
    </dataValidation>
    <dataValidation type="list" allowBlank="1" showInputMessage="1" showErrorMessage="1" sqref="B76:B77">
      <formula1>окна</formula1>
    </dataValidation>
    <dataValidation type="list" allowBlank="1" showInputMessage="1" showErrorMessage="1" sqref="B123:B130">
      <formula1>благоустройство</formula1>
    </dataValidation>
    <dataValidation type="list" allowBlank="1" showInputMessage="1" showErrorMessage="1" sqref="B54:B60">
      <formula1>наружныестены</formula1>
    </dataValidation>
    <dataValidation type="list" allowBlank="1" showInputMessage="1" showErrorMessage="1" sqref="B91:B115">
      <formula1>отделка</formula1>
    </dataValidation>
  </dataValidations>
  <pageMargins left="0.7" right="0.7" top="0.75" bottom="0.75" header="0.3" footer="0.3"/>
  <pageSetup paperSize="9" scale="42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workbookViewId="0">
      <selection activeCell="C3" sqref="C3"/>
    </sheetView>
  </sheetViews>
  <sheetFormatPr defaultRowHeight="15" x14ac:dyDescent="0.25"/>
  <cols>
    <col min="1" max="1" width="60.28515625" customWidth="1"/>
    <col min="2" max="2" width="15" style="2" customWidth="1"/>
    <col min="3" max="3" width="15" customWidth="1"/>
  </cols>
  <sheetData>
    <row r="1" spans="1:3" x14ac:dyDescent="0.25">
      <c r="A1" s="4" t="s">
        <v>87</v>
      </c>
      <c r="B1" s="9" t="s">
        <v>87</v>
      </c>
      <c r="C1" s="7">
        <v>0</v>
      </c>
    </row>
    <row r="2" spans="1:3" x14ac:dyDescent="0.25">
      <c r="A2" s="4" t="s">
        <v>48</v>
      </c>
      <c r="B2" s="9" t="s">
        <v>14</v>
      </c>
      <c r="C2" s="7">
        <f>(4*4.5)*C4/(3.6*3.6)</f>
        <v>97487.5</v>
      </c>
    </row>
    <row r="3" spans="1:3" x14ac:dyDescent="0.25">
      <c r="A3" s="4" t="s">
        <v>44</v>
      </c>
      <c r="B3" s="9" t="s">
        <v>14</v>
      </c>
      <c r="C3" s="7">
        <v>8000</v>
      </c>
    </row>
    <row r="4" spans="1:3" x14ac:dyDescent="0.25">
      <c r="A4" s="4" t="s">
        <v>971</v>
      </c>
      <c r="B4" s="9" t="s">
        <v>14</v>
      </c>
      <c r="C4" s="7">
        <v>70191</v>
      </c>
    </row>
    <row r="5" spans="1:3" x14ac:dyDescent="0.25">
      <c r="A5" s="4" t="s">
        <v>972</v>
      </c>
      <c r="B5" s="9" t="s">
        <v>14</v>
      </c>
      <c r="C5" s="7">
        <v>39000</v>
      </c>
    </row>
    <row r="6" spans="1:3" x14ac:dyDescent="0.25">
      <c r="A6" s="4"/>
      <c r="B6" s="9"/>
      <c r="C6" s="7"/>
    </row>
    <row r="7" spans="1:3" x14ac:dyDescent="0.25">
      <c r="A7" s="4"/>
      <c r="B7" s="9"/>
      <c r="C7" s="7"/>
    </row>
    <row r="8" spans="1:3" x14ac:dyDescent="0.25">
      <c r="A8" s="4"/>
      <c r="B8" s="9"/>
      <c r="C8" s="7"/>
    </row>
    <row r="9" spans="1:3" x14ac:dyDescent="0.25">
      <c r="A9" s="13"/>
      <c r="B9" s="14"/>
      <c r="C9" s="16"/>
    </row>
    <row r="10" spans="1:3" x14ac:dyDescent="0.25">
      <c r="A10" s="4"/>
      <c r="B10" s="9"/>
      <c r="C10" s="16"/>
    </row>
    <row r="11" spans="1:3" x14ac:dyDescent="0.25">
      <c r="A11" s="13"/>
      <c r="B11" s="14"/>
      <c r="C11" s="16"/>
    </row>
    <row r="12" spans="1:3" x14ac:dyDescent="0.25">
      <c r="A12" s="4"/>
      <c r="B12" s="9"/>
      <c r="C12" s="7"/>
    </row>
    <row r="13" spans="1:3" x14ac:dyDescent="0.25">
      <c r="A13" s="4"/>
      <c r="B13" s="9"/>
      <c r="C13" s="7"/>
    </row>
    <row r="14" spans="1:3" x14ac:dyDescent="0.25">
      <c r="A14" s="4"/>
      <c r="B14" s="9"/>
      <c r="C14" s="7"/>
    </row>
    <row r="15" spans="1:3" x14ac:dyDescent="0.25">
      <c r="A15" s="4"/>
      <c r="B15" s="9"/>
      <c r="C15" s="7"/>
    </row>
    <row r="16" spans="1:3" x14ac:dyDescent="0.25">
      <c r="A16" s="4"/>
      <c r="B16" s="9"/>
      <c r="C16" s="7"/>
    </row>
    <row r="17" spans="1:3" x14ac:dyDescent="0.25">
      <c r="A17" s="4"/>
      <c r="B17" s="9"/>
      <c r="C17" s="7"/>
    </row>
    <row r="18" spans="1:3" x14ac:dyDescent="0.25">
      <c r="A18" s="4"/>
      <c r="B18" s="9"/>
      <c r="C18" s="7"/>
    </row>
    <row r="19" spans="1:3" x14ac:dyDescent="0.25">
      <c r="A19" s="4"/>
      <c r="B19" s="9"/>
      <c r="C19" s="7"/>
    </row>
    <row r="20" spans="1:3" x14ac:dyDescent="0.25">
      <c r="A20" s="4"/>
      <c r="B20" s="14"/>
      <c r="C20" s="16"/>
    </row>
    <row r="21" spans="1:3" x14ac:dyDescent="0.25">
      <c r="A21" s="4"/>
      <c r="B21" s="9"/>
      <c r="C21" s="7"/>
    </row>
    <row r="22" spans="1:3" x14ac:dyDescent="0.25">
      <c r="A22" s="4"/>
      <c r="B22" s="9"/>
      <c r="C22" s="7"/>
    </row>
    <row r="23" spans="1:3" x14ac:dyDescent="0.25">
      <c r="A23" s="4"/>
      <c r="B23" s="9"/>
      <c r="C23" s="7"/>
    </row>
    <row r="24" spans="1:3" x14ac:dyDescent="0.25">
      <c r="A24" s="4"/>
      <c r="B24" s="9"/>
      <c r="C24" s="7"/>
    </row>
    <row r="25" spans="1:3" x14ac:dyDescent="0.25">
      <c r="A25" s="4"/>
      <c r="B25" s="9"/>
      <c r="C25" s="7"/>
    </row>
    <row r="26" spans="1:3" x14ac:dyDescent="0.25">
      <c r="A26" s="4"/>
      <c r="B26" s="9"/>
      <c r="C26" s="7"/>
    </row>
    <row r="27" spans="1:3" x14ac:dyDescent="0.25">
      <c r="A27" s="4"/>
      <c r="B27" s="9"/>
      <c r="C27" s="7"/>
    </row>
    <row r="28" spans="1:3" x14ac:dyDescent="0.25">
      <c r="A28" s="4"/>
      <c r="B28" s="9"/>
      <c r="C28" s="7"/>
    </row>
    <row r="29" spans="1:3" x14ac:dyDescent="0.25">
      <c r="A29" s="4"/>
      <c r="B29" s="9"/>
      <c r="C29" s="7"/>
    </row>
    <row r="30" spans="1:3" x14ac:dyDescent="0.25">
      <c r="A30" s="4"/>
      <c r="B30" s="9"/>
      <c r="C30" s="7"/>
    </row>
    <row r="31" spans="1:3" x14ac:dyDescent="0.25">
      <c r="A31" s="4"/>
      <c r="B31" s="9"/>
      <c r="C31" s="7"/>
    </row>
    <row r="32" spans="1:3" x14ac:dyDescent="0.25">
      <c r="A32" s="4"/>
      <c r="B32" s="9"/>
      <c r="C32" s="7"/>
    </row>
    <row r="33" spans="1:8" x14ac:dyDescent="0.25">
      <c r="A33" s="4"/>
      <c r="B33" s="9"/>
      <c r="C33" s="7"/>
    </row>
    <row r="34" spans="1:8" x14ac:dyDescent="0.25">
      <c r="A34" s="4"/>
      <c r="B34" s="9"/>
      <c r="C34" s="7"/>
    </row>
    <row r="35" spans="1:8" ht="16.5" customHeight="1" x14ac:dyDescent="0.25">
      <c r="A35" s="4"/>
      <c r="B35" s="9"/>
      <c r="C35" s="7"/>
    </row>
    <row r="36" spans="1:8" ht="16.5" customHeight="1" x14ac:dyDescent="0.25">
      <c r="A36" s="4"/>
      <c r="B36" s="9"/>
      <c r="C36" s="7"/>
    </row>
    <row r="37" spans="1:8" x14ac:dyDescent="0.25">
      <c r="A37" s="47"/>
      <c r="B37" s="48"/>
      <c r="C37" s="49"/>
    </row>
    <row r="38" spans="1:8" x14ac:dyDescent="0.25">
      <c r="A38" s="47"/>
      <c r="B38" s="48"/>
      <c r="C38" s="49"/>
    </row>
    <row r="39" spans="1:8" ht="29.25" customHeight="1" x14ac:dyDescent="0.25">
      <c r="A39" s="4"/>
      <c r="B39" s="9"/>
      <c r="C39" s="7"/>
    </row>
    <row r="40" spans="1:8" x14ac:dyDescent="0.25">
      <c r="A40" s="4"/>
      <c r="B40" s="9"/>
      <c r="C40" s="7"/>
      <c r="H40" t="s">
        <v>49</v>
      </c>
    </row>
    <row r="41" spans="1:8" x14ac:dyDescent="0.25">
      <c r="A41" s="4"/>
      <c r="B41" s="9"/>
      <c r="C41" s="7"/>
    </row>
    <row r="42" spans="1:8" x14ac:dyDescent="0.25">
      <c r="A42" s="4"/>
      <c r="B42" s="9"/>
      <c r="C42" s="7"/>
    </row>
    <row r="43" spans="1:8" x14ac:dyDescent="0.25">
      <c r="A43" s="4"/>
      <c r="B43" s="9"/>
      <c r="C43" s="7"/>
    </row>
    <row r="44" spans="1:8" x14ac:dyDescent="0.25">
      <c r="A44" s="4"/>
      <c r="B44" s="9"/>
      <c r="C44" s="7"/>
    </row>
    <row r="45" spans="1:8" x14ac:dyDescent="0.25">
      <c r="A45" s="4"/>
      <c r="B45" s="9"/>
      <c r="C45" s="7"/>
    </row>
    <row r="46" spans="1:8" x14ac:dyDescent="0.25">
      <c r="A46" s="4"/>
      <c r="B46" s="9"/>
      <c r="C46" s="7"/>
    </row>
    <row r="47" spans="1:8" ht="15.75" x14ac:dyDescent="0.25">
      <c r="A47" s="20"/>
      <c r="B47" s="21"/>
      <c r="C47" s="7"/>
    </row>
    <row r="48" spans="1:8" ht="15.75" x14ac:dyDescent="0.25">
      <c r="A48" s="20"/>
      <c r="B48" s="21"/>
      <c r="C48" s="7"/>
    </row>
    <row r="49" spans="1:3" ht="15.75" x14ac:dyDescent="0.25">
      <c r="A49" s="20"/>
      <c r="B49" s="21"/>
      <c r="C49" s="7"/>
    </row>
    <row r="50" spans="1:3" ht="15.75" x14ac:dyDescent="0.25">
      <c r="A50" s="20"/>
      <c r="B50" s="21"/>
      <c r="C50" s="7"/>
    </row>
    <row r="51" spans="1:3" ht="15.75" x14ac:dyDescent="0.25">
      <c r="A51" s="20"/>
      <c r="B51" s="21"/>
      <c r="C51" s="7"/>
    </row>
    <row r="52" spans="1:3" ht="15.75" x14ac:dyDescent="0.25">
      <c r="A52" s="20"/>
      <c r="B52" s="21"/>
      <c r="C52" s="7"/>
    </row>
    <row r="53" spans="1:3" ht="15.75" x14ac:dyDescent="0.25">
      <c r="A53" s="22"/>
      <c r="B53" s="21"/>
      <c r="C53" s="7"/>
    </row>
    <row r="54" spans="1:3" x14ac:dyDescent="0.25">
      <c r="A54" s="4"/>
      <c r="B54" s="9"/>
      <c r="C54" s="7"/>
    </row>
    <row r="55" spans="1:3" x14ac:dyDescent="0.25">
      <c r="B55"/>
    </row>
    <row r="56" spans="1:3" x14ac:dyDescent="0.25">
      <c r="B56"/>
    </row>
    <row r="57" spans="1:3" x14ac:dyDescent="0.25">
      <c r="B57"/>
    </row>
    <row r="58" spans="1:3" x14ac:dyDescent="0.25">
      <c r="B58"/>
    </row>
    <row r="59" spans="1:3" x14ac:dyDescent="0.25">
      <c r="B59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sqref="A1:C1"/>
    </sheetView>
  </sheetViews>
  <sheetFormatPr defaultRowHeight="15" x14ac:dyDescent="0.25"/>
  <cols>
    <col min="1" max="1" width="60.28515625" customWidth="1"/>
    <col min="2" max="2" width="15" style="2" customWidth="1"/>
    <col min="3" max="3" width="15" customWidth="1"/>
  </cols>
  <sheetData>
    <row r="1" spans="1:3" x14ac:dyDescent="0.25">
      <c r="A1" s="47" t="s">
        <v>87</v>
      </c>
      <c r="B1" s="48" t="s">
        <v>87</v>
      </c>
      <c r="C1" s="49">
        <v>0</v>
      </c>
    </row>
    <row r="2" spans="1:3" x14ac:dyDescent="0.25">
      <c r="A2" s="47" t="s">
        <v>84</v>
      </c>
      <c r="B2" s="48" t="s">
        <v>12</v>
      </c>
      <c r="C2" s="49">
        <v>1100</v>
      </c>
    </row>
    <row r="3" spans="1:3" x14ac:dyDescent="0.25">
      <c r="A3" s="47" t="s">
        <v>86</v>
      </c>
      <c r="B3" s="48" t="s">
        <v>12</v>
      </c>
      <c r="C3" s="49">
        <v>120</v>
      </c>
    </row>
    <row r="4" spans="1:3" x14ac:dyDescent="0.25">
      <c r="A4" s="4"/>
      <c r="B4" s="9"/>
      <c r="C4" s="7"/>
    </row>
    <row r="5" spans="1:3" x14ac:dyDescent="0.25">
      <c r="A5" s="4"/>
      <c r="B5" s="9"/>
      <c r="C5" s="7"/>
    </row>
    <row r="6" spans="1:3" x14ac:dyDescent="0.25">
      <c r="A6" s="13"/>
      <c r="B6" s="14"/>
      <c r="C6" s="16"/>
    </row>
    <row r="7" spans="1:3" x14ac:dyDescent="0.25">
      <c r="A7" s="18"/>
      <c r="B7" s="19"/>
      <c r="C7" s="16"/>
    </row>
    <row r="8" spans="1:3" x14ac:dyDescent="0.25">
      <c r="A8" s="4"/>
      <c r="B8" s="9"/>
      <c r="C8" s="16"/>
    </row>
    <row r="9" spans="1:3" x14ac:dyDescent="0.25">
      <c r="A9" s="13"/>
      <c r="B9" s="14"/>
      <c r="C9" s="16"/>
    </row>
    <row r="10" spans="1:3" x14ac:dyDescent="0.25">
      <c r="A10" s="4"/>
      <c r="B10" s="9"/>
      <c r="C10" s="7"/>
    </row>
    <row r="11" spans="1:3" x14ac:dyDescent="0.25">
      <c r="A11" s="13"/>
      <c r="B11" s="14"/>
      <c r="C11" s="16"/>
    </row>
    <row r="12" spans="1:3" x14ac:dyDescent="0.25">
      <c r="A12" s="4"/>
      <c r="B12" s="9"/>
      <c r="C12" s="16"/>
    </row>
    <row r="13" spans="1:3" x14ac:dyDescent="0.25">
      <c r="A13" s="13"/>
      <c r="B13" s="14"/>
      <c r="C13" s="16"/>
    </row>
    <row r="14" spans="1:3" x14ac:dyDescent="0.25">
      <c r="A14" s="4"/>
      <c r="B14" s="9"/>
      <c r="C14" s="7"/>
    </row>
    <row r="15" spans="1:3" x14ac:dyDescent="0.25">
      <c r="A15" s="4"/>
      <c r="B15" s="9"/>
      <c r="C15" s="7"/>
    </row>
    <row r="16" spans="1:3" x14ac:dyDescent="0.25">
      <c r="A16" s="4"/>
      <c r="B16" s="9"/>
      <c r="C16" s="7"/>
    </row>
    <row r="17" spans="1:3" x14ac:dyDescent="0.25">
      <c r="A17" s="4"/>
      <c r="B17" s="9"/>
      <c r="C17" s="7"/>
    </row>
    <row r="18" spans="1:3" x14ac:dyDescent="0.25">
      <c r="A18" s="4"/>
      <c r="B18" s="9"/>
      <c r="C18" s="7"/>
    </row>
    <row r="19" spans="1:3" x14ac:dyDescent="0.25">
      <c r="A19" s="4"/>
      <c r="B19" s="9"/>
      <c r="C19" s="7"/>
    </row>
    <row r="20" spans="1:3" x14ac:dyDescent="0.25">
      <c r="A20" s="4"/>
      <c r="B20" s="9"/>
      <c r="C20" s="7"/>
    </row>
    <row r="21" spans="1:3" x14ac:dyDescent="0.25">
      <c r="A21" s="4"/>
      <c r="B21" s="9"/>
      <c r="C21" s="7"/>
    </row>
    <row r="22" spans="1:3" x14ac:dyDescent="0.25">
      <c r="A22" s="4"/>
      <c r="B22" s="14"/>
      <c r="C22" s="16"/>
    </row>
    <row r="23" spans="1:3" x14ac:dyDescent="0.25">
      <c r="A23" s="4"/>
      <c r="B23" s="9"/>
      <c r="C23" s="7"/>
    </row>
    <row r="24" spans="1:3" x14ac:dyDescent="0.25">
      <c r="A24" s="4"/>
      <c r="B24" s="9"/>
      <c r="C24" s="7"/>
    </row>
    <row r="25" spans="1:3" x14ac:dyDescent="0.25">
      <c r="A25" s="4"/>
      <c r="B25" s="9"/>
      <c r="C25" s="7"/>
    </row>
    <row r="26" spans="1:3" x14ac:dyDescent="0.25">
      <c r="A26" s="4"/>
      <c r="B26" s="9"/>
      <c r="C26" s="7"/>
    </row>
    <row r="27" spans="1:3" x14ac:dyDescent="0.25">
      <c r="A27" s="4"/>
      <c r="B27" s="9"/>
      <c r="C27" s="7"/>
    </row>
    <row r="28" spans="1:3" x14ac:dyDescent="0.25">
      <c r="A28" s="4"/>
      <c r="B28" s="9"/>
      <c r="C28" s="7"/>
    </row>
    <row r="29" spans="1:3" x14ac:dyDescent="0.25">
      <c r="A29" s="4"/>
      <c r="B29" s="9"/>
      <c r="C29" s="7"/>
    </row>
    <row r="30" spans="1:3" x14ac:dyDescent="0.25">
      <c r="A30" s="4"/>
      <c r="B30" s="9"/>
      <c r="C30" s="7"/>
    </row>
    <row r="31" spans="1:3" x14ac:dyDescent="0.25">
      <c r="A31" s="4"/>
      <c r="B31" s="9"/>
      <c r="C31" s="7"/>
    </row>
    <row r="32" spans="1:3" x14ac:dyDescent="0.25">
      <c r="A32" s="4"/>
      <c r="B32" s="9"/>
      <c r="C32" s="7"/>
    </row>
    <row r="33" spans="1:8" x14ac:dyDescent="0.25">
      <c r="A33" s="4"/>
      <c r="B33" s="9"/>
      <c r="C33" s="7"/>
    </row>
    <row r="34" spans="1:8" x14ac:dyDescent="0.25">
      <c r="A34" s="4"/>
      <c r="B34" s="9"/>
      <c r="C34" s="7"/>
    </row>
    <row r="35" spans="1:8" x14ac:dyDescent="0.25">
      <c r="A35" s="4"/>
      <c r="B35" s="9"/>
      <c r="C35" s="7"/>
    </row>
    <row r="36" spans="1:8" x14ac:dyDescent="0.25">
      <c r="A36" s="4"/>
      <c r="B36" s="9"/>
      <c r="C36" s="7"/>
    </row>
    <row r="37" spans="1:8" ht="16.5" customHeight="1" x14ac:dyDescent="0.25">
      <c r="A37" s="4"/>
      <c r="B37" s="9"/>
      <c r="C37" s="7"/>
    </row>
    <row r="38" spans="1:8" ht="16.5" customHeight="1" x14ac:dyDescent="0.25">
      <c r="A38" s="4"/>
      <c r="B38" s="9"/>
      <c r="C38" s="7"/>
    </row>
    <row r="39" spans="1:8" x14ac:dyDescent="0.25">
      <c r="A39" s="47"/>
      <c r="B39" s="48"/>
      <c r="C39" s="49"/>
    </row>
    <row r="40" spans="1:8" x14ac:dyDescent="0.25">
      <c r="A40" s="47"/>
      <c r="B40" s="48"/>
      <c r="C40" s="49"/>
    </row>
    <row r="41" spans="1:8" ht="29.25" customHeight="1" x14ac:dyDescent="0.25">
      <c r="A41" s="4"/>
      <c r="B41" s="9"/>
      <c r="C41" s="7"/>
    </row>
    <row r="42" spans="1:8" x14ac:dyDescent="0.25">
      <c r="A42" s="4"/>
      <c r="B42" s="9"/>
      <c r="C42" s="7"/>
      <c r="H42" t="s">
        <v>49</v>
      </c>
    </row>
    <row r="43" spans="1:8" x14ac:dyDescent="0.25">
      <c r="A43" s="4"/>
      <c r="B43" s="9"/>
      <c r="C43" s="7"/>
    </row>
    <row r="44" spans="1:8" x14ac:dyDescent="0.25">
      <c r="A44" s="4"/>
      <c r="B44" s="9"/>
      <c r="C44" s="7"/>
    </row>
    <row r="45" spans="1:8" x14ac:dyDescent="0.25">
      <c r="A45" s="4"/>
      <c r="B45" s="9"/>
      <c r="C45" s="7"/>
    </row>
    <row r="46" spans="1:8" x14ac:dyDescent="0.25">
      <c r="A46" s="4"/>
      <c r="B46" s="9"/>
      <c r="C46" s="7"/>
    </row>
    <row r="47" spans="1:8" x14ac:dyDescent="0.25">
      <c r="A47" s="4"/>
      <c r="B47" s="9"/>
      <c r="C47" s="7"/>
    </row>
    <row r="48" spans="1:8" x14ac:dyDescent="0.25">
      <c r="A48" s="4"/>
      <c r="B48" s="9"/>
      <c r="C48" s="7"/>
    </row>
    <row r="49" spans="1:3" ht="15.75" x14ac:dyDescent="0.25">
      <c r="A49" s="20"/>
      <c r="B49" s="21"/>
      <c r="C49" s="7"/>
    </row>
    <row r="50" spans="1:3" ht="15.75" x14ac:dyDescent="0.25">
      <c r="A50" s="20"/>
      <c r="B50" s="21"/>
      <c r="C50" s="7"/>
    </row>
    <row r="51" spans="1:3" ht="15.75" x14ac:dyDescent="0.25">
      <c r="A51" s="20"/>
      <c r="B51" s="21"/>
      <c r="C51" s="7"/>
    </row>
    <row r="52" spans="1:3" ht="15.75" x14ac:dyDescent="0.25">
      <c r="A52" s="20"/>
      <c r="B52" s="21"/>
      <c r="C52" s="7"/>
    </row>
    <row r="53" spans="1:3" ht="15.75" x14ac:dyDescent="0.25">
      <c r="A53" s="20"/>
      <c r="B53" s="21"/>
      <c r="C53" s="7"/>
    </row>
    <row r="54" spans="1:3" ht="15.75" x14ac:dyDescent="0.25">
      <c r="A54" s="20"/>
      <c r="B54" s="21"/>
      <c r="C54" s="7"/>
    </row>
    <row r="55" spans="1:3" ht="15.75" x14ac:dyDescent="0.25">
      <c r="A55" s="22"/>
      <c r="B55" s="21"/>
      <c r="C55" s="7"/>
    </row>
    <row r="56" spans="1:3" ht="15.75" x14ac:dyDescent="0.25">
      <c r="A56" s="22"/>
      <c r="B56" s="21"/>
      <c r="C56" s="7"/>
    </row>
    <row r="57" spans="1:3" x14ac:dyDescent="0.25">
      <c r="B57"/>
    </row>
    <row r="58" spans="1:3" x14ac:dyDescent="0.25">
      <c r="B58"/>
    </row>
    <row r="59" spans="1:3" x14ac:dyDescent="0.25">
      <c r="B59"/>
    </row>
    <row r="60" spans="1:3" x14ac:dyDescent="0.25">
      <c r="B60"/>
    </row>
    <row r="61" spans="1:3" x14ac:dyDescent="0.25">
      <c r="B61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opLeftCell="A16" workbookViewId="0">
      <selection activeCell="A36" sqref="A36"/>
    </sheetView>
  </sheetViews>
  <sheetFormatPr defaultRowHeight="15" x14ac:dyDescent="0.25"/>
  <cols>
    <col min="1" max="1" width="60.28515625" customWidth="1"/>
    <col min="2" max="2" width="15" style="2" customWidth="1"/>
    <col min="3" max="3" width="15" customWidth="1"/>
  </cols>
  <sheetData>
    <row r="1" spans="1:3" x14ac:dyDescent="0.25">
      <c r="A1" s="47" t="s">
        <v>87</v>
      </c>
      <c r="B1" s="48" t="s">
        <v>87</v>
      </c>
      <c r="C1" s="49">
        <v>0</v>
      </c>
    </row>
    <row r="2" spans="1:3" x14ac:dyDescent="0.25">
      <c r="A2" s="61" t="s">
        <v>104</v>
      </c>
      <c r="B2" s="9"/>
      <c r="C2" s="7"/>
    </row>
    <row r="3" spans="1:3" x14ac:dyDescent="0.25">
      <c r="A3" s="4" t="s">
        <v>121</v>
      </c>
      <c r="B3" s="9" t="s">
        <v>12</v>
      </c>
      <c r="C3" s="7">
        <v>165</v>
      </c>
    </row>
    <row r="4" spans="1:3" x14ac:dyDescent="0.25">
      <c r="A4" s="4" t="s">
        <v>120</v>
      </c>
      <c r="B4" s="9" t="s">
        <v>12</v>
      </c>
      <c r="C4" s="7">
        <v>173</v>
      </c>
    </row>
    <row r="5" spans="1:3" x14ac:dyDescent="0.25">
      <c r="A5" s="4" t="s">
        <v>119</v>
      </c>
      <c r="B5" s="9" t="s">
        <v>12</v>
      </c>
      <c r="C5" s="7">
        <v>163</v>
      </c>
    </row>
    <row r="6" spans="1:3" ht="30" x14ac:dyDescent="0.25">
      <c r="A6" s="4" t="s">
        <v>130</v>
      </c>
      <c r="B6" s="9" t="s">
        <v>12</v>
      </c>
      <c r="C6" s="7">
        <v>120</v>
      </c>
    </row>
    <row r="7" spans="1:3" x14ac:dyDescent="0.25">
      <c r="A7" s="4" t="s">
        <v>118</v>
      </c>
      <c r="B7" s="9" t="s">
        <v>12</v>
      </c>
      <c r="C7" s="7">
        <v>414</v>
      </c>
    </row>
    <row r="8" spans="1:3" x14ac:dyDescent="0.25">
      <c r="A8" s="4" t="s">
        <v>117</v>
      </c>
      <c r="B8" s="9" t="s">
        <v>12</v>
      </c>
      <c r="C8" s="7">
        <v>356</v>
      </c>
    </row>
    <row r="9" spans="1:3" x14ac:dyDescent="0.25">
      <c r="A9" s="4" t="s">
        <v>124</v>
      </c>
      <c r="B9" s="9"/>
      <c r="C9" s="7">
        <v>450</v>
      </c>
    </row>
    <row r="10" spans="1:3" x14ac:dyDescent="0.25">
      <c r="A10" s="4" t="s">
        <v>122</v>
      </c>
      <c r="B10" s="9" t="s">
        <v>12</v>
      </c>
      <c r="C10" s="7">
        <v>130</v>
      </c>
    </row>
    <row r="11" spans="1:3" x14ac:dyDescent="0.25">
      <c r="A11" s="4" t="s">
        <v>123</v>
      </c>
      <c r="B11" s="9" t="s">
        <v>12</v>
      </c>
      <c r="C11" s="7">
        <v>235</v>
      </c>
    </row>
    <row r="12" spans="1:3" x14ac:dyDescent="0.25">
      <c r="A12" s="4" t="s">
        <v>129</v>
      </c>
      <c r="B12" s="9" t="s">
        <v>12</v>
      </c>
      <c r="C12" s="7">
        <v>0</v>
      </c>
    </row>
    <row r="13" spans="1:3" x14ac:dyDescent="0.25">
      <c r="A13" s="122" t="s">
        <v>983</v>
      </c>
      <c r="B13" s="123" t="s">
        <v>12</v>
      </c>
      <c r="C13" s="125">
        <v>300</v>
      </c>
    </row>
    <row r="14" spans="1:3" x14ac:dyDescent="0.25">
      <c r="A14" s="122" t="s">
        <v>984</v>
      </c>
      <c r="B14" s="123" t="s">
        <v>12</v>
      </c>
      <c r="C14" s="125">
        <v>90</v>
      </c>
    </row>
    <row r="15" spans="1:3" x14ac:dyDescent="0.25">
      <c r="A15" s="122" t="s">
        <v>985</v>
      </c>
      <c r="B15" s="123" t="s">
        <v>230</v>
      </c>
      <c r="C15" s="126">
        <v>70</v>
      </c>
    </row>
    <row r="16" spans="1:3" x14ac:dyDescent="0.25">
      <c r="A16" s="122" t="s">
        <v>986</v>
      </c>
      <c r="B16" s="123" t="s">
        <v>230</v>
      </c>
      <c r="C16" s="126">
        <v>20</v>
      </c>
    </row>
    <row r="17" spans="1:3" x14ac:dyDescent="0.25">
      <c r="A17" s="122" t="s">
        <v>987</v>
      </c>
      <c r="B17" s="123" t="s">
        <v>230</v>
      </c>
      <c r="C17" s="126">
        <v>25</v>
      </c>
    </row>
    <row r="18" spans="1:3" x14ac:dyDescent="0.25">
      <c r="A18" s="124" t="s">
        <v>988</v>
      </c>
      <c r="B18" s="19" t="s">
        <v>12</v>
      </c>
      <c r="C18" s="127">
        <v>500</v>
      </c>
    </row>
    <row r="19" spans="1:3" x14ac:dyDescent="0.25">
      <c r="A19" s="18" t="s">
        <v>989</v>
      </c>
      <c r="B19" s="19" t="s">
        <v>12</v>
      </c>
      <c r="C19" s="128">
        <v>450</v>
      </c>
    </row>
    <row r="20" spans="1:3" x14ac:dyDescent="0.25">
      <c r="A20" s="18" t="s">
        <v>990</v>
      </c>
      <c r="B20" s="19" t="s">
        <v>230</v>
      </c>
      <c r="C20" s="128">
        <v>10</v>
      </c>
    </row>
    <row r="21" spans="1:3" ht="30" x14ac:dyDescent="0.25">
      <c r="A21" s="4" t="s">
        <v>106</v>
      </c>
      <c r="B21" s="9" t="s">
        <v>12</v>
      </c>
      <c r="C21" s="7">
        <v>75</v>
      </c>
    </row>
    <row r="22" spans="1:3" x14ac:dyDescent="0.25">
      <c r="A22" s="4" t="s">
        <v>991</v>
      </c>
      <c r="B22" s="9" t="s">
        <v>12</v>
      </c>
      <c r="C22" s="7">
        <v>450</v>
      </c>
    </row>
    <row r="23" spans="1:3" x14ac:dyDescent="0.25">
      <c r="A23" s="4" t="s">
        <v>113</v>
      </c>
      <c r="B23" s="9" t="s">
        <v>12</v>
      </c>
      <c r="C23" s="7">
        <v>150</v>
      </c>
    </row>
    <row r="24" spans="1:3" x14ac:dyDescent="0.25">
      <c r="A24" s="61" t="s">
        <v>107</v>
      </c>
      <c r="B24" s="9"/>
      <c r="C24" s="7"/>
    </row>
    <row r="25" spans="1:3" x14ac:dyDescent="0.25">
      <c r="A25" s="4" t="s">
        <v>116</v>
      </c>
      <c r="B25" s="9" t="s">
        <v>12</v>
      </c>
      <c r="C25" s="7">
        <v>430</v>
      </c>
    </row>
    <row r="26" spans="1:3" x14ac:dyDescent="0.25">
      <c r="A26" s="4" t="s">
        <v>115</v>
      </c>
      <c r="B26" s="9" t="s">
        <v>12</v>
      </c>
      <c r="C26" s="7">
        <v>485</v>
      </c>
    </row>
    <row r="27" spans="1:3" x14ac:dyDescent="0.25">
      <c r="A27" s="4" t="s">
        <v>131</v>
      </c>
      <c r="B27" s="9" t="s">
        <v>12</v>
      </c>
      <c r="C27" s="7">
        <v>539</v>
      </c>
    </row>
    <row r="28" spans="1:3" x14ac:dyDescent="0.25">
      <c r="A28" s="4" t="s">
        <v>132</v>
      </c>
      <c r="B28" s="9" t="s">
        <v>12</v>
      </c>
      <c r="C28" s="7">
        <v>599</v>
      </c>
    </row>
    <row r="29" spans="1:3" ht="30" x14ac:dyDescent="0.25">
      <c r="A29" s="4" t="s">
        <v>112</v>
      </c>
      <c r="B29" s="9" t="s">
        <v>12</v>
      </c>
      <c r="C29" s="7">
        <f>26*28</f>
        <v>728</v>
      </c>
    </row>
    <row r="30" spans="1:3" x14ac:dyDescent="0.25">
      <c r="A30" s="4" t="s">
        <v>231</v>
      </c>
      <c r="B30" s="9" t="s">
        <v>12</v>
      </c>
      <c r="C30" s="7">
        <v>350</v>
      </c>
    </row>
    <row r="31" spans="1:3" x14ac:dyDescent="0.25">
      <c r="A31" s="18" t="s">
        <v>992</v>
      </c>
      <c r="B31" s="19" t="s">
        <v>12</v>
      </c>
      <c r="C31" s="16">
        <v>400</v>
      </c>
    </row>
    <row r="32" spans="1:3" ht="16.5" customHeight="1" x14ac:dyDescent="0.25">
      <c r="A32" s="18" t="s">
        <v>993</v>
      </c>
      <c r="B32" s="19" t="s">
        <v>12</v>
      </c>
      <c r="C32" s="16">
        <v>90</v>
      </c>
    </row>
    <row r="33" spans="1:8" ht="16.5" customHeight="1" x14ac:dyDescent="0.25">
      <c r="A33" s="18" t="s">
        <v>994</v>
      </c>
      <c r="B33" s="19" t="s">
        <v>12</v>
      </c>
      <c r="C33" s="16">
        <v>600</v>
      </c>
    </row>
    <row r="34" spans="1:8" x14ac:dyDescent="0.25">
      <c r="A34" s="18" t="s">
        <v>995</v>
      </c>
      <c r="B34" s="19" t="s">
        <v>12</v>
      </c>
      <c r="C34" s="16">
        <v>500</v>
      </c>
    </row>
    <row r="35" spans="1:8" x14ac:dyDescent="0.25">
      <c r="A35" s="18" t="s">
        <v>996</v>
      </c>
      <c r="B35" s="19" t="s">
        <v>12</v>
      </c>
      <c r="C35" s="16">
        <v>450</v>
      </c>
    </row>
    <row r="36" spans="1:8" ht="18" customHeight="1" x14ac:dyDescent="0.25">
      <c r="A36" s="18" t="s">
        <v>997</v>
      </c>
      <c r="B36" s="19" t="s">
        <v>12</v>
      </c>
      <c r="C36" s="16">
        <v>500</v>
      </c>
    </row>
    <row r="37" spans="1:8" x14ac:dyDescent="0.25">
      <c r="A37" s="18" t="s">
        <v>998</v>
      </c>
      <c r="B37" s="19" t="s">
        <v>230</v>
      </c>
      <c r="C37" s="16">
        <v>10</v>
      </c>
      <c r="H37" t="s">
        <v>49</v>
      </c>
    </row>
    <row r="38" spans="1:8" x14ac:dyDescent="0.25">
      <c r="A38" s="130" t="s">
        <v>999</v>
      </c>
      <c r="B38" s="131" t="s">
        <v>10</v>
      </c>
      <c r="C38" s="134">
        <v>4000</v>
      </c>
    </row>
    <row r="39" spans="1:8" ht="15.75" x14ac:dyDescent="0.25">
      <c r="A39" s="18" t="s">
        <v>1000</v>
      </c>
      <c r="B39" s="19" t="s">
        <v>230</v>
      </c>
      <c r="C39" s="135">
        <v>42</v>
      </c>
    </row>
    <row r="40" spans="1:8" x14ac:dyDescent="0.25">
      <c r="A40" s="132" t="s">
        <v>1001</v>
      </c>
      <c r="B40" s="133" t="s">
        <v>12</v>
      </c>
      <c r="C40" s="134">
        <v>100</v>
      </c>
    </row>
    <row r="41" spans="1:8" x14ac:dyDescent="0.25">
      <c r="A41" s="4" t="s">
        <v>111</v>
      </c>
      <c r="B41" s="9" t="s">
        <v>12</v>
      </c>
      <c r="C41" s="7">
        <v>360</v>
      </c>
    </row>
    <row r="42" spans="1:8" x14ac:dyDescent="0.25">
      <c r="A42" s="4" t="s">
        <v>108</v>
      </c>
      <c r="B42" s="9" t="s">
        <v>12</v>
      </c>
      <c r="C42" s="7">
        <v>100</v>
      </c>
    </row>
    <row r="43" spans="1:8" x14ac:dyDescent="0.25">
      <c r="A43" s="4" t="s">
        <v>232</v>
      </c>
      <c r="B43" s="9" t="s">
        <v>12</v>
      </c>
      <c r="C43" s="7">
        <v>120</v>
      </c>
    </row>
    <row r="44" spans="1:8" x14ac:dyDescent="0.25">
      <c r="A44" s="4" t="s">
        <v>114</v>
      </c>
      <c r="B44" s="9" t="s">
        <v>12</v>
      </c>
      <c r="C44" s="7">
        <v>450</v>
      </c>
    </row>
    <row r="45" spans="1:8" x14ac:dyDescent="0.25">
      <c r="A45" s="61" t="s">
        <v>109</v>
      </c>
      <c r="B45" s="9"/>
      <c r="C45" s="7"/>
    </row>
    <row r="46" spans="1:8" x14ac:dyDescent="0.25">
      <c r="A46" s="4" t="s">
        <v>134</v>
      </c>
      <c r="B46" s="9" t="s">
        <v>12</v>
      </c>
      <c r="C46" s="7">
        <v>165</v>
      </c>
    </row>
    <row r="47" spans="1:8" x14ac:dyDescent="0.25">
      <c r="A47" s="4" t="s">
        <v>105</v>
      </c>
      <c r="B47" s="9" t="s">
        <v>12</v>
      </c>
      <c r="C47" s="7">
        <v>235</v>
      </c>
    </row>
    <row r="48" spans="1:8" x14ac:dyDescent="0.25">
      <c r="A48" s="4" t="s">
        <v>125</v>
      </c>
      <c r="B48" s="9" t="s">
        <v>12</v>
      </c>
      <c r="C48" s="7">
        <v>165</v>
      </c>
    </row>
    <row r="49" spans="1:3" ht="30" x14ac:dyDescent="0.25">
      <c r="A49" s="4" t="s">
        <v>126</v>
      </c>
      <c r="B49" s="9" t="s">
        <v>12</v>
      </c>
      <c r="C49" s="7">
        <v>280</v>
      </c>
    </row>
    <row r="50" spans="1:3" ht="30" x14ac:dyDescent="0.25">
      <c r="A50" s="4" t="s">
        <v>127</v>
      </c>
      <c r="B50" s="9" t="s">
        <v>12</v>
      </c>
      <c r="C50" s="7">
        <v>300</v>
      </c>
    </row>
    <row r="51" spans="1:3" ht="30" x14ac:dyDescent="0.25">
      <c r="A51" s="4" t="s">
        <v>128</v>
      </c>
      <c r="B51" s="9" t="s">
        <v>12</v>
      </c>
      <c r="C51" s="7">
        <v>168</v>
      </c>
    </row>
    <row r="52" spans="1:3" x14ac:dyDescent="0.25">
      <c r="A52" s="4" t="s">
        <v>135</v>
      </c>
      <c r="B52" s="9" t="s">
        <v>12</v>
      </c>
      <c r="C52" s="7">
        <v>0</v>
      </c>
    </row>
    <row r="53" spans="1:3" ht="30" x14ac:dyDescent="0.25">
      <c r="A53" s="4" t="s">
        <v>133</v>
      </c>
      <c r="B53" s="9" t="s">
        <v>12</v>
      </c>
      <c r="C53" s="7">
        <v>75</v>
      </c>
    </row>
    <row r="54" spans="1:3" x14ac:dyDescent="0.25">
      <c r="A54" s="4" t="s">
        <v>110</v>
      </c>
      <c r="B54" s="9" t="s">
        <v>12</v>
      </c>
      <c r="C54" s="7">
        <v>180</v>
      </c>
    </row>
    <row r="55" spans="1:3" x14ac:dyDescent="0.25">
      <c r="A55" s="4"/>
      <c r="B55" s="9"/>
      <c r="C55" s="7"/>
    </row>
    <row r="56" spans="1:3" x14ac:dyDescent="0.25">
      <c r="A56" s="4"/>
      <c r="B56" s="9"/>
      <c r="C56" s="7"/>
    </row>
    <row r="57" spans="1:3" x14ac:dyDescent="0.25">
      <c r="A57" s="4"/>
      <c r="B57" s="9"/>
      <c r="C57" s="7"/>
    </row>
    <row r="58" spans="1:3" x14ac:dyDescent="0.25">
      <c r="A58" s="4"/>
      <c r="B58" s="9"/>
      <c r="C58" s="7"/>
    </row>
    <row r="59" spans="1:3" ht="15.75" x14ac:dyDescent="0.25">
      <c r="A59" s="20"/>
      <c r="B59" s="21"/>
      <c r="C59" s="7"/>
    </row>
    <row r="60" spans="1:3" ht="15.75" x14ac:dyDescent="0.25">
      <c r="A60" s="20"/>
      <c r="B60" s="21"/>
      <c r="C60" s="7"/>
    </row>
    <row r="61" spans="1:3" ht="15.75" x14ac:dyDescent="0.25">
      <c r="A61" s="20"/>
      <c r="B61" s="21"/>
      <c r="C61" s="7"/>
    </row>
    <row r="62" spans="1:3" ht="15.75" x14ac:dyDescent="0.25">
      <c r="A62" s="20"/>
      <c r="B62" s="21"/>
      <c r="C62" s="7"/>
    </row>
    <row r="63" spans="1:3" ht="15.75" x14ac:dyDescent="0.25">
      <c r="A63" s="20"/>
      <c r="B63" s="21"/>
      <c r="C63" s="7"/>
    </row>
    <row r="64" spans="1:3" ht="15.75" x14ac:dyDescent="0.25">
      <c r="A64" s="20"/>
      <c r="B64" s="21"/>
      <c r="C64" s="7"/>
    </row>
    <row r="65" spans="1:3" ht="15.75" x14ac:dyDescent="0.25">
      <c r="A65" s="22"/>
      <c r="B65" s="21"/>
      <c r="C65" s="7"/>
    </row>
    <row r="66" spans="1:3" ht="15.75" x14ac:dyDescent="0.25">
      <c r="A66" s="22"/>
      <c r="B66" s="21"/>
      <c r="C66" s="7"/>
    </row>
    <row r="67" spans="1:3" x14ac:dyDescent="0.25">
      <c r="B67"/>
    </row>
    <row r="68" spans="1:3" x14ac:dyDescent="0.25">
      <c r="B68"/>
    </row>
    <row r="69" spans="1:3" x14ac:dyDescent="0.25">
      <c r="B69"/>
    </row>
    <row r="70" spans="1:3" x14ac:dyDescent="0.25">
      <c r="B70"/>
    </row>
    <row r="71" spans="1:3" x14ac:dyDescent="0.25">
      <c r="B71"/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>
      <selection activeCell="C10" sqref="C10"/>
    </sheetView>
  </sheetViews>
  <sheetFormatPr defaultRowHeight="15" x14ac:dyDescent="0.25"/>
  <cols>
    <col min="1" max="1" width="60.28515625" customWidth="1"/>
    <col min="2" max="2" width="15" style="2" customWidth="1"/>
    <col min="3" max="3" width="15" customWidth="1"/>
  </cols>
  <sheetData>
    <row r="1" spans="1:3" x14ac:dyDescent="0.25">
      <c r="A1" s="47" t="s">
        <v>87</v>
      </c>
      <c r="B1" s="48" t="s">
        <v>87</v>
      </c>
      <c r="C1" s="49">
        <v>0</v>
      </c>
    </row>
    <row r="2" spans="1:3" x14ac:dyDescent="0.25">
      <c r="A2" s="4" t="s">
        <v>99</v>
      </c>
      <c r="B2" s="9" t="s">
        <v>14</v>
      </c>
      <c r="C2" s="7">
        <v>25000</v>
      </c>
    </row>
    <row r="3" spans="1:3" x14ac:dyDescent="0.25">
      <c r="A3" s="4" t="s">
        <v>100</v>
      </c>
      <c r="B3" s="9" t="s">
        <v>14</v>
      </c>
      <c r="C3" s="7">
        <f>66500*1.1</f>
        <v>73150</v>
      </c>
    </row>
    <row r="4" spans="1:3" x14ac:dyDescent="0.25">
      <c r="A4" s="4" t="s">
        <v>101</v>
      </c>
      <c r="B4" s="9" t="s">
        <v>14</v>
      </c>
      <c r="C4" s="7">
        <v>22800</v>
      </c>
    </row>
    <row r="5" spans="1:3" x14ac:dyDescent="0.25">
      <c r="A5" s="4" t="s">
        <v>102</v>
      </c>
      <c r="B5" s="14" t="s">
        <v>14</v>
      </c>
      <c r="C5" s="16">
        <v>22800</v>
      </c>
    </row>
    <row r="6" spans="1:3" x14ac:dyDescent="0.25">
      <c r="A6" s="4" t="s">
        <v>973</v>
      </c>
      <c r="B6" s="19" t="s">
        <v>14</v>
      </c>
      <c r="C6" s="16">
        <f>C5*1.134</f>
        <v>25855.199999999997</v>
      </c>
    </row>
    <row r="7" spans="1:3" x14ac:dyDescent="0.25">
      <c r="A7" s="4" t="s">
        <v>974</v>
      </c>
      <c r="B7" s="19" t="s">
        <v>14</v>
      </c>
      <c r="C7" s="16">
        <f>C6/2</f>
        <v>12927.599999999999</v>
      </c>
    </row>
    <row r="8" spans="1:3" x14ac:dyDescent="0.25">
      <c r="A8" s="4" t="s">
        <v>975</v>
      </c>
      <c r="B8" s="19" t="s">
        <v>14</v>
      </c>
      <c r="C8" s="16">
        <f>C7*3</f>
        <v>38782.799999999996</v>
      </c>
    </row>
    <row r="9" spans="1:3" x14ac:dyDescent="0.25">
      <c r="A9" s="4" t="s">
        <v>976</v>
      </c>
      <c r="B9" s="9" t="s">
        <v>967</v>
      </c>
      <c r="C9" s="7">
        <v>7000</v>
      </c>
    </row>
    <row r="10" spans="1:3" x14ac:dyDescent="0.25">
      <c r="A10" s="13"/>
      <c r="B10" s="14"/>
      <c r="C10" s="16"/>
    </row>
    <row r="11" spans="1:3" x14ac:dyDescent="0.25">
      <c r="A11" s="4"/>
      <c r="B11" s="9"/>
      <c r="C11" s="16"/>
    </row>
    <row r="12" spans="1:3" x14ac:dyDescent="0.25">
      <c r="A12" s="13"/>
      <c r="B12" s="14"/>
      <c r="C12" s="16"/>
    </row>
    <row r="13" spans="1:3" x14ac:dyDescent="0.25">
      <c r="A13" s="4"/>
      <c r="B13" s="9"/>
      <c r="C13" s="7"/>
    </row>
    <row r="14" spans="1:3" x14ac:dyDescent="0.25">
      <c r="A14" s="4"/>
      <c r="B14" s="9"/>
      <c r="C14" s="7"/>
    </row>
    <row r="15" spans="1:3" x14ac:dyDescent="0.25">
      <c r="A15" s="4"/>
      <c r="B15" s="9"/>
      <c r="C15" s="7"/>
    </row>
    <row r="16" spans="1:3" x14ac:dyDescent="0.25">
      <c r="A16" s="4"/>
      <c r="B16" s="9"/>
      <c r="C16" s="7"/>
    </row>
    <row r="17" spans="1:3" x14ac:dyDescent="0.25">
      <c r="A17" s="4"/>
      <c r="B17" s="9"/>
      <c r="C17" s="7"/>
    </row>
    <row r="18" spans="1:3" x14ac:dyDescent="0.25">
      <c r="A18" s="4"/>
      <c r="B18" s="9"/>
      <c r="C18" s="7"/>
    </row>
    <row r="19" spans="1:3" x14ac:dyDescent="0.25">
      <c r="A19" s="4"/>
      <c r="B19" s="9"/>
      <c r="C19" s="7"/>
    </row>
    <row r="20" spans="1:3" x14ac:dyDescent="0.25">
      <c r="A20" s="4"/>
      <c r="B20" s="9"/>
      <c r="C20" s="7"/>
    </row>
    <row r="21" spans="1:3" x14ac:dyDescent="0.25">
      <c r="A21" s="4"/>
      <c r="B21" s="14"/>
      <c r="C21" s="16"/>
    </row>
    <row r="22" spans="1:3" x14ac:dyDescent="0.25">
      <c r="A22" s="4"/>
      <c r="B22" s="9"/>
      <c r="C22" s="7"/>
    </row>
    <row r="23" spans="1:3" x14ac:dyDescent="0.25">
      <c r="A23" s="4"/>
      <c r="B23" s="9"/>
      <c r="C23" s="7"/>
    </row>
    <row r="24" spans="1:3" x14ac:dyDescent="0.25">
      <c r="A24" s="4"/>
      <c r="B24" s="9"/>
      <c r="C24" s="7"/>
    </row>
    <row r="25" spans="1:3" x14ac:dyDescent="0.25">
      <c r="A25" s="4"/>
      <c r="B25" s="9"/>
      <c r="C25" s="7"/>
    </row>
    <row r="26" spans="1:3" x14ac:dyDescent="0.25">
      <c r="A26" s="4"/>
      <c r="B26" s="9"/>
      <c r="C26" s="7"/>
    </row>
    <row r="27" spans="1:3" x14ac:dyDescent="0.25">
      <c r="A27" s="4"/>
      <c r="B27" s="9"/>
      <c r="C27" s="7"/>
    </row>
    <row r="28" spans="1:3" x14ac:dyDescent="0.25">
      <c r="A28" s="4"/>
      <c r="B28" s="9"/>
      <c r="C28" s="7"/>
    </row>
    <row r="29" spans="1:3" x14ac:dyDescent="0.25">
      <c r="A29" s="4"/>
      <c r="B29" s="9"/>
      <c r="C29" s="7"/>
    </row>
    <row r="30" spans="1:3" x14ac:dyDescent="0.25">
      <c r="A30" s="4"/>
      <c r="B30" s="9"/>
      <c r="C30" s="7"/>
    </row>
    <row r="31" spans="1:3" x14ac:dyDescent="0.25">
      <c r="A31" s="4"/>
      <c r="B31" s="9"/>
      <c r="C31" s="7"/>
    </row>
    <row r="32" spans="1:3" x14ac:dyDescent="0.25">
      <c r="A32" s="4"/>
      <c r="B32" s="9"/>
      <c r="C32" s="7"/>
    </row>
    <row r="33" spans="1:8" x14ac:dyDescent="0.25">
      <c r="A33" s="4"/>
      <c r="B33" s="9"/>
      <c r="C33" s="7"/>
    </row>
    <row r="34" spans="1:8" x14ac:dyDescent="0.25">
      <c r="A34" s="4"/>
      <c r="B34" s="9"/>
      <c r="C34" s="7"/>
    </row>
    <row r="35" spans="1:8" x14ac:dyDescent="0.25">
      <c r="A35" s="4"/>
      <c r="B35" s="9"/>
      <c r="C35" s="7"/>
    </row>
    <row r="36" spans="1:8" ht="16.5" customHeight="1" x14ac:dyDescent="0.25">
      <c r="A36" s="4"/>
      <c r="B36" s="9"/>
      <c r="C36" s="7"/>
    </row>
    <row r="37" spans="1:8" ht="16.5" customHeight="1" x14ac:dyDescent="0.25">
      <c r="A37" s="4"/>
      <c r="B37" s="9"/>
      <c r="C37" s="7"/>
    </row>
    <row r="38" spans="1:8" x14ac:dyDescent="0.25">
      <c r="A38" s="47"/>
      <c r="B38" s="48"/>
      <c r="C38" s="49"/>
    </row>
    <row r="39" spans="1:8" x14ac:dyDescent="0.25">
      <c r="A39" s="47"/>
      <c r="B39" s="48"/>
      <c r="C39" s="49"/>
    </row>
    <row r="40" spans="1:8" ht="29.25" customHeight="1" x14ac:dyDescent="0.25">
      <c r="A40" s="4"/>
      <c r="B40" s="9"/>
      <c r="C40" s="7"/>
    </row>
    <row r="41" spans="1:8" x14ac:dyDescent="0.25">
      <c r="A41" s="4"/>
      <c r="B41" s="9"/>
      <c r="C41" s="7"/>
      <c r="H41" t="s">
        <v>49</v>
      </c>
    </row>
    <row r="42" spans="1:8" x14ac:dyDescent="0.25">
      <c r="A42" s="4"/>
      <c r="B42" s="9"/>
      <c r="C42" s="7"/>
    </row>
    <row r="43" spans="1:8" x14ac:dyDescent="0.25">
      <c r="A43" s="4"/>
      <c r="B43" s="9"/>
      <c r="C43" s="7"/>
    </row>
    <row r="44" spans="1:8" x14ac:dyDescent="0.25">
      <c r="A44" s="4"/>
      <c r="B44" s="9"/>
      <c r="C44" s="7"/>
    </row>
    <row r="45" spans="1:8" x14ac:dyDescent="0.25">
      <c r="A45" s="4"/>
      <c r="B45" s="9"/>
      <c r="C45" s="7"/>
    </row>
    <row r="46" spans="1:8" x14ac:dyDescent="0.25">
      <c r="A46" s="4"/>
      <c r="B46" s="9"/>
      <c r="C46" s="7"/>
    </row>
    <row r="47" spans="1:8" x14ac:dyDescent="0.25">
      <c r="A47" s="4"/>
      <c r="B47" s="9"/>
      <c r="C47" s="7"/>
    </row>
    <row r="48" spans="1:8" ht="15.75" x14ac:dyDescent="0.25">
      <c r="A48" s="20"/>
      <c r="B48" s="21"/>
      <c r="C48" s="7"/>
    </row>
    <row r="49" spans="1:3" ht="15.75" x14ac:dyDescent="0.25">
      <c r="A49" s="20"/>
      <c r="B49" s="21"/>
      <c r="C49" s="7"/>
    </row>
    <row r="50" spans="1:3" ht="15.75" x14ac:dyDescent="0.25">
      <c r="A50" s="20"/>
      <c r="B50" s="21"/>
      <c r="C50" s="7"/>
    </row>
    <row r="51" spans="1:3" ht="15.75" x14ac:dyDescent="0.25">
      <c r="A51" s="20"/>
      <c r="B51" s="21"/>
      <c r="C51" s="7"/>
    </row>
    <row r="52" spans="1:3" ht="15.75" x14ac:dyDescent="0.25">
      <c r="A52" s="20"/>
      <c r="B52" s="21"/>
      <c r="C52" s="7"/>
    </row>
    <row r="53" spans="1:3" ht="15.75" x14ac:dyDescent="0.25">
      <c r="A53" s="20"/>
      <c r="B53" s="21"/>
      <c r="C53" s="7"/>
    </row>
    <row r="54" spans="1:3" ht="15.75" x14ac:dyDescent="0.25">
      <c r="A54" s="22"/>
      <c r="B54" s="21"/>
      <c r="C54" s="7"/>
    </row>
    <row r="55" spans="1:3" ht="15.75" x14ac:dyDescent="0.25">
      <c r="A55" s="22"/>
      <c r="B55" s="21"/>
      <c r="C55" s="7"/>
    </row>
    <row r="56" spans="1:3" x14ac:dyDescent="0.25">
      <c r="B56"/>
    </row>
    <row r="57" spans="1:3" x14ac:dyDescent="0.25">
      <c r="B57"/>
    </row>
    <row r="58" spans="1:3" x14ac:dyDescent="0.25">
      <c r="B58"/>
    </row>
    <row r="59" spans="1:3" x14ac:dyDescent="0.25">
      <c r="B59"/>
    </row>
    <row r="60" spans="1:3" x14ac:dyDescent="0.25">
      <c r="B60"/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C2" sqref="C2"/>
    </sheetView>
  </sheetViews>
  <sheetFormatPr defaultRowHeight="15" x14ac:dyDescent="0.25"/>
  <cols>
    <col min="1" max="1" width="60.28515625" customWidth="1"/>
    <col min="2" max="2" width="15" style="2" customWidth="1"/>
    <col min="3" max="3" width="15" customWidth="1"/>
  </cols>
  <sheetData>
    <row r="1" spans="1:3" x14ac:dyDescent="0.25">
      <c r="A1" s="4" t="s">
        <v>87</v>
      </c>
      <c r="B1" s="9" t="s">
        <v>87</v>
      </c>
      <c r="C1" s="7">
        <v>0</v>
      </c>
    </row>
    <row r="2" spans="1:3" ht="30" x14ac:dyDescent="0.25">
      <c r="A2" s="4" t="s">
        <v>55</v>
      </c>
      <c r="B2" s="9" t="s">
        <v>12</v>
      </c>
      <c r="C2" s="7">
        <v>400</v>
      </c>
    </row>
    <row r="3" spans="1:3" x14ac:dyDescent="0.25">
      <c r="A3" s="4" t="s">
        <v>38</v>
      </c>
      <c r="B3" s="9" t="s">
        <v>12</v>
      </c>
      <c r="C3" s="7">
        <v>120</v>
      </c>
    </row>
    <row r="4" spans="1:3" x14ac:dyDescent="0.25">
      <c r="A4" s="4" t="s">
        <v>46</v>
      </c>
      <c r="B4" s="9" t="s">
        <v>10</v>
      </c>
      <c r="C4" s="7">
        <v>5000</v>
      </c>
    </row>
    <row r="5" spans="1:3" x14ac:dyDescent="0.25">
      <c r="A5" s="4" t="s">
        <v>59</v>
      </c>
      <c r="B5" s="9" t="s">
        <v>10</v>
      </c>
      <c r="C5" s="7">
        <v>500</v>
      </c>
    </row>
    <row r="6" spans="1:3" x14ac:dyDescent="0.25">
      <c r="A6" s="4" t="s">
        <v>29</v>
      </c>
      <c r="B6" s="9" t="s">
        <v>10</v>
      </c>
      <c r="C6" s="7">
        <v>600</v>
      </c>
    </row>
    <row r="7" spans="1:3" x14ac:dyDescent="0.25">
      <c r="A7" s="4" t="s">
        <v>60</v>
      </c>
      <c r="B7" s="9" t="s">
        <v>10</v>
      </c>
      <c r="C7" s="7">
        <v>250</v>
      </c>
    </row>
    <row r="8" spans="1:3" x14ac:dyDescent="0.25">
      <c r="A8" s="4" t="s">
        <v>26</v>
      </c>
      <c r="B8" s="9" t="s">
        <v>10</v>
      </c>
      <c r="C8" s="7">
        <v>4000</v>
      </c>
    </row>
    <row r="9" spans="1:3" x14ac:dyDescent="0.25">
      <c r="A9" s="4" t="s">
        <v>58</v>
      </c>
      <c r="B9" s="9" t="s">
        <v>10</v>
      </c>
      <c r="C9" s="7">
        <v>2000</v>
      </c>
    </row>
    <row r="10" spans="1:3" x14ac:dyDescent="0.25">
      <c r="A10" s="4"/>
      <c r="B10" s="9"/>
      <c r="C10" s="7"/>
    </row>
    <row r="11" spans="1:3" x14ac:dyDescent="0.25">
      <c r="A11" s="13"/>
      <c r="B11" s="14"/>
      <c r="C11" s="16"/>
    </row>
    <row r="12" spans="1:3" x14ac:dyDescent="0.25">
      <c r="A12" s="4"/>
      <c r="B12" s="9"/>
      <c r="C12" s="16"/>
    </row>
    <row r="13" spans="1:3" x14ac:dyDescent="0.25">
      <c r="A13" s="13"/>
      <c r="B13" s="14"/>
      <c r="C13" s="16"/>
    </row>
    <row r="14" spans="1:3" x14ac:dyDescent="0.25">
      <c r="A14" s="4"/>
      <c r="B14" s="9"/>
      <c r="C14" s="7"/>
    </row>
    <row r="15" spans="1:3" x14ac:dyDescent="0.25">
      <c r="A15" s="4"/>
      <c r="B15" s="9"/>
      <c r="C15" s="7"/>
    </row>
    <row r="16" spans="1:3" x14ac:dyDescent="0.25">
      <c r="A16" s="4"/>
      <c r="B16" s="9"/>
      <c r="C16" s="7"/>
    </row>
    <row r="17" spans="1:3" x14ac:dyDescent="0.25">
      <c r="A17" s="4"/>
      <c r="B17" s="9"/>
      <c r="C17" s="7"/>
    </row>
    <row r="18" spans="1:3" x14ac:dyDescent="0.25">
      <c r="A18" s="4"/>
      <c r="B18" s="9"/>
      <c r="C18" s="7"/>
    </row>
    <row r="19" spans="1:3" x14ac:dyDescent="0.25">
      <c r="A19" s="4"/>
      <c r="B19" s="9"/>
      <c r="C19" s="7"/>
    </row>
    <row r="20" spans="1:3" x14ac:dyDescent="0.25">
      <c r="A20" s="4"/>
      <c r="B20" s="9"/>
      <c r="C20" s="7"/>
    </row>
    <row r="21" spans="1:3" x14ac:dyDescent="0.25">
      <c r="A21" s="4"/>
      <c r="B21" s="9"/>
      <c r="C21" s="7"/>
    </row>
    <row r="22" spans="1:3" x14ac:dyDescent="0.25">
      <c r="A22" s="4"/>
      <c r="B22" s="14"/>
      <c r="C22" s="16"/>
    </row>
    <row r="23" spans="1:3" x14ac:dyDescent="0.25">
      <c r="A23" s="4"/>
      <c r="B23" s="9"/>
      <c r="C23" s="7"/>
    </row>
    <row r="24" spans="1:3" x14ac:dyDescent="0.25">
      <c r="A24" s="4"/>
      <c r="B24" s="9"/>
      <c r="C24" s="7"/>
    </row>
    <row r="25" spans="1:3" x14ac:dyDescent="0.25">
      <c r="A25" s="4"/>
      <c r="B25" s="9"/>
      <c r="C25" s="7"/>
    </row>
    <row r="26" spans="1:3" x14ac:dyDescent="0.25">
      <c r="A26" s="4"/>
      <c r="B26" s="9"/>
      <c r="C26" s="7"/>
    </row>
    <row r="27" spans="1:3" x14ac:dyDescent="0.25">
      <c r="A27" s="4"/>
      <c r="B27" s="9"/>
      <c r="C27" s="7"/>
    </row>
    <row r="28" spans="1:3" x14ac:dyDescent="0.25">
      <c r="A28" s="4"/>
      <c r="B28" s="9"/>
      <c r="C28" s="7"/>
    </row>
    <row r="29" spans="1:3" x14ac:dyDescent="0.25">
      <c r="A29" s="4"/>
      <c r="B29" s="9"/>
      <c r="C29" s="7"/>
    </row>
    <row r="30" spans="1:3" x14ac:dyDescent="0.25">
      <c r="A30" s="4"/>
      <c r="B30" s="9"/>
      <c r="C30" s="7"/>
    </row>
    <row r="31" spans="1:3" x14ac:dyDescent="0.25">
      <c r="A31" s="4"/>
      <c r="B31" s="9"/>
      <c r="C31" s="7"/>
    </row>
    <row r="32" spans="1:3" x14ac:dyDescent="0.25">
      <c r="A32" s="4"/>
      <c r="B32" s="9"/>
      <c r="C32" s="7"/>
    </row>
    <row r="33" spans="1:8" x14ac:dyDescent="0.25">
      <c r="A33" s="4"/>
      <c r="B33" s="9"/>
      <c r="C33" s="7"/>
    </row>
    <row r="34" spans="1:8" x14ac:dyDescent="0.25">
      <c r="A34" s="4"/>
      <c r="B34" s="9"/>
      <c r="C34" s="7"/>
    </row>
    <row r="35" spans="1:8" x14ac:dyDescent="0.25">
      <c r="A35" s="4"/>
      <c r="B35" s="9"/>
      <c r="C35" s="7"/>
    </row>
    <row r="36" spans="1:8" x14ac:dyDescent="0.25">
      <c r="A36" s="4"/>
      <c r="B36" s="9"/>
      <c r="C36" s="7"/>
    </row>
    <row r="37" spans="1:8" ht="16.5" customHeight="1" x14ac:dyDescent="0.25">
      <c r="A37" s="4"/>
      <c r="B37" s="9"/>
      <c r="C37" s="7"/>
    </row>
    <row r="38" spans="1:8" ht="16.5" customHeight="1" x14ac:dyDescent="0.25">
      <c r="A38" s="4"/>
      <c r="B38" s="9"/>
      <c r="C38" s="7"/>
    </row>
    <row r="39" spans="1:8" x14ac:dyDescent="0.25">
      <c r="A39" s="47"/>
      <c r="B39" s="48"/>
      <c r="C39" s="49"/>
    </row>
    <row r="40" spans="1:8" x14ac:dyDescent="0.25">
      <c r="A40" s="47"/>
      <c r="B40" s="48"/>
      <c r="C40" s="49"/>
    </row>
    <row r="41" spans="1:8" ht="29.25" customHeight="1" x14ac:dyDescent="0.25">
      <c r="A41" s="4"/>
      <c r="B41" s="9"/>
      <c r="C41" s="7"/>
    </row>
    <row r="42" spans="1:8" x14ac:dyDescent="0.25">
      <c r="A42" s="4"/>
      <c r="B42" s="9"/>
      <c r="C42" s="7"/>
      <c r="H42" t="s">
        <v>49</v>
      </c>
    </row>
    <row r="43" spans="1:8" x14ac:dyDescent="0.25">
      <c r="A43" s="4"/>
      <c r="B43" s="9"/>
      <c r="C43" s="7"/>
    </row>
    <row r="44" spans="1:8" x14ac:dyDescent="0.25">
      <c r="A44" s="4"/>
      <c r="B44" s="9"/>
      <c r="C44" s="7"/>
    </row>
    <row r="45" spans="1:8" x14ac:dyDescent="0.25">
      <c r="A45" s="4"/>
      <c r="B45" s="9"/>
      <c r="C45" s="7"/>
    </row>
    <row r="46" spans="1:8" x14ac:dyDescent="0.25">
      <c r="A46" s="4"/>
      <c r="B46" s="9"/>
      <c r="C46" s="7"/>
    </row>
    <row r="47" spans="1:8" x14ac:dyDescent="0.25">
      <c r="A47" s="4"/>
      <c r="B47" s="9"/>
      <c r="C47" s="7"/>
    </row>
    <row r="48" spans="1:8" x14ac:dyDescent="0.25">
      <c r="A48" s="4"/>
      <c r="B48" s="9"/>
      <c r="C48" s="7"/>
    </row>
    <row r="49" spans="1:3" ht="15.75" x14ac:dyDescent="0.25">
      <c r="A49" s="20"/>
      <c r="B49" s="21"/>
      <c r="C49" s="7"/>
    </row>
    <row r="50" spans="1:3" ht="15.75" x14ac:dyDescent="0.25">
      <c r="A50" s="20"/>
      <c r="B50" s="21"/>
      <c r="C50" s="7"/>
    </row>
    <row r="51" spans="1:3" ht="15.75" x14ac:dyDescent="0.25">
      <c r="A51" s="20"/>
      <c r="B51" s="21"/>
      <c r="C51" s="7"/>
    </row>
    <row r="52" spans="1:3" ht="15.75" x14ac:dyDescent="0.25">
      <c r="A52" s="20"/>
      <c r="B52" s="21"/>
      <c r="C52" s="7"/>
    </row>
    <row r="53" spans="1:3" ht="15.75" x14ac:dyDescent="0.25">
      <c r="A53" s="20"/>
      <c r="B53" s="21"/>
      <c r="C53" s="7"/>
    </row>
    <row r="54" spans="1:3" ht="15.75" x14ac:dyDescent="0.25">
      <c r="A54" s="20"/>
      <c r="B54" s="21"/>
      <c r="C54" s="7"/>
    </row>
    <row r="55" spans="1:3" ht="15.75" x14ac:dyDescent="0.25">
      <c r="A55" s="22"/>
      <c r="B55" s="21"/>
      <c r="C55" s="7"/>
    </row>
    <row r="56" spans="1:3" ht="15.75" x14ac:dyDescent="0.25">
      <c r="A56" s="22"/>
      <c r="B56" s="21"/>
      <c r="C56" s="7"/>
    </row>
    <row r="57" spans="1:3" x14ac:dyDescent="0.25">
      <c r="B57"/>
    </row>
    <row r="58" spans="1:3" x14ac:dyDescent="0.25">
      <c r="B58"/>
    </row>
    <row r="59" spans="1:3" x14ac:dyDescent="0.25">
      <c r="B59"/>
    </row>
    <row r="60" spans="1:3" x14ac:dyDescent="0.25">
      <c r="B60"/>
    </row>
    <row r="61" spans="1:3" x14ac:dyDescent="0.25">
      <c r="B61"/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5"/>
  <sheetViews>
    <sheetView topLeftCell="A475" workbookViewId="0">
      <selection activeCell="C487" sqref="C487"/>
    </sheetView>
  </sheetViews>
  <sheetFormatPr defaultRowHeight="15" x14ac:dyDescent="0.25"/>
  <cols>
    <col min="1" max="1" width="60.28515625" style="63" customWidth="1"/>
    <col min="2" max="2" width="15" style="102" customWidth="1"/>
    <col min="3" max="3" width="15" style="74" customWidth="1"/>
  </cols>
  <sheetData>
    <row r="1" spans="1:4" x14ac:dyDescent="0.25">
      <c r="A1" s="4"/>
      <c r="B1" s="80" t="s">
        <v>87</v>
      </c>
      <c r="C1" s="71">
        <v>0</v>
      </c>
    </row>
    <row r="2" spans="1:4" x14ac:dyDescent="0.25">
      <c r="A2" s="100" t="s">
        <v>801</v>
      </c>
      <c r="B2" s="101" t="s">
        <v>14</v>
      </c>
      <c r="C2" s="99">
        <v>5791.97</v>
      </c>
      <c r="D2" s="98"/>
    </row>
    <row r="3" spans="1:4" x14ac:dyDescent="0.25">
      <c r="A3" s="100" t="s">
        <v>800</v>
      </c>
      <c r="B3" s="101" t="s">
        <v>14</v>
      </c>
      <c r="C3" s="99">
        <v>7918.72</v>
      </c>
      <c r="D3" s="98"/>
    </row>
    <row r="4" spans="1:4" x14ac:dyDescent="0.25">
      <c r="A4" s="100" t="s">
        <v>784</v>
      </c>
      <c r="B4" s="101" t="s">
        <v>14</v>
      </c>
      <c r="C4" s="99">
        <v>7914</v>
      </c>
      <c r="D4" s="98"/>
    </row>
    <row r="5" spans="1:4" x14ac:dyDescent="0.25">
      <c r="A5" s="100" t="s">
        <v>788</v>
      </c>
      <c r="B5" s="101" t="s">
        <v>14</v>
      </c>
      <c r="C5" s="99">
        <v>4822</v>
      </c>
      <c r="D5" s="98"/>
    </row>
    <row r="6" spans="1:4" x14ac:dyDescent="0.25">
      <c r="A6" s="100" t="s">
        <v>796</v>
      </c>
      <c r="B6" s="101" t="s">
        <v>14</v>
      </c>
      <c r="C6" s="99">
        <v>29231.34</v>
      </c>
      <c r="D6" s="98"/>
    </row>
    <row r="7" spans="1:4" x14ac:dyDescent="0.25">
      <c r="A7" s="100" t="s">
        <v>795</v>
      </c>
      <c r="B7" s="101" t="s">
        <v>14</v>
      </c>
      <c r="C7" s="99">
        <v>1918.59</v>
      </c>
      <c r="D7" s="98"/>
    </row>
    <row r="8" spans="1:4" x14ac:dyDescent="0.25">
      <c r="A8" s="100" t="s">
        <v>794</v>
      </c>
      <c r="B8" s="101" t="s">
        <v>14</v>
      </c>
      <c r="C8" s="99">
        <v>2872.46</v>
      </c>
      <c r="D8" s="98"/>
    </row>
    <row r="9" spans="1:4" x14ac:dyDescent="0.25">
      <c r="A9" s="100" t="s">
        <v>802</v>
      </c>
      <c r="B9" s="101" t="s">
        <v>14</v>
      </c>
      <c r="C9" s="99">
        <v>4371.1400000000003</v>
      </c>
      <c r="D9" s="98"/>
    </row>
    <row r="10" spans="1:4" x14ac:dyDescent="0.25">
      <c r="A10" s="100" t="s">
        <v>798</v>
      </c>
      <c r="B10" s="101" t="s">
        <v>14</v>
      </c>
      <c r="C10" s="99">
        <v>4407.34</v>
      </c>
      <c r="D10" s="98"/>
    </row>
    <row r="11" spans="1:4" x14ac:dyDescent="0.25">
      <c r="A11" s="100" t="s">
        <v>799</v>
      </c>
      <c r="B11" s="101" t="s">
        <v>14</v>
      </c>
      <c r="C11" s="99">
        <v>7838.04</v>
      </c>
      <c r="D11" s="98"/>
    </row>
    <row r="12" spans="1:4" x14ac:dyDescent="0.25">
      <c r="A12" s="100" t="s">
        <v>797</v>
      </c>
      <c r="B12" s="101" t="s">
        <v>14</v>
      </c>
      <c r="C12" s="99">
        <v>4389.24</v>
      </c>
      <c r="D12" s="98"/>
    </row>
    <row r="13" spans="1:4" x14ac:dyDescent="0.25">
      <c r="A13" s="100" t="s">
        <v>793</v>
      </c>
      <c r="B13" s="101" t="s">
        <v>14</v>
      </c>
      <c r="C13" s="99">
        <v>3347.59</v>
      </c>
      <c r="D13" s="98"/>
    </row>
    <row r="14" spans="1:4" x14ac:dyDescent="0.25">
      <c r="A14" s="65" t="s">
        <v>382</v>
      </c>
      <c r="B14" s="68" t="s">
        <v>14</v>
      </c>
      <c r="C14" s="72">
        <v>519.34</v>
      </c>
    </row>
    <row r="15" spans="1:4" x14ac:dyDescent="0.25">
      <c r="A15" s="65" t="s">
        <v>383</v>
      </c>
      <c r="B15" s="68" t="s">
        <v>14</v>
      </c>
      <c r="C15" s="72">
        <v>519.34</v>
      </c>
    </row>
    <row r="16" spans="1:4" x14ac:dyDescent="0.25">
      <c r="A16" s="65" t="s">
        <v>384</v>
      </c>
      <c r="B16" s="68" t="s">
        <v>230</v>
      </c>
      <c r="C16" s="72">
        <v>211.86</v>
      </c>
    </row>
    <row r="17" spans="1:4" x14ac:dyDescent="0.25">
      <c r="A17" s="100" t="s">
        <v>818</v>
      </c>
      <c r="B17" s="101" t="s">
        <v>14</v>
      </c>
      <c r="C17" s="99">
        <v>180</v>
      </c>
      <c r="D17" s="98"/>
    </row>
    <row r="18" spans="1:4" x14ac:dyDescent="0.25">
      <c r="A18" s="65" t="s">
        <v>385</v>
      </c>
      <c r="B18" s="68" t="s">
        <v>14</v>
      </c>
      <c r="C18" s="72">
        <v>25.42</v>
      </c>
    </row>
    <row r="19" spans="1:4" x14ac:dyDescent="0.25">
      <c r="A19" s="65" t="s">
        <v>386</v>
      </c>
      <c r="B19" s="68" t="s">
        <v>14</v>
      </c>
      <c r="C19" s="72">
        <v>5.0999999999999996</v>
      </c>
    </row>
    <row r="20" spans="1:4" x14ac:dyDescent="0.25">
      <c r="A20" s="65" t="s">
        <v>387</v>
      </c>
      <c r="B20" s="68" t="s">
        <v>14</v>
      </c>
      <c r="C20" s="72">
        <v>79.709999999999994</v>
      </c>
    </row>
    <row r="21" spans="1:4" x14ac:dyDescent="0.25">
      <c r="A21" s="65" t="s">
        <v>388</v>
      </c>
      <c r="B21" s="68" t="s">
        <v>14</v>
      </c>
      <c r="C21" s="72">
        <v>69.819999999999993</v>
      </c>
    </row>
    <row r="22" spans="1:4" s="98" customFormat="1" x14ac:dyDescent="0.25">
      <c r="A22" s="65" t="s">
        <v>389</v>
      </c>
      <c r="B22" s="68" t="s">
        <v>14</v>
      </c>
      <c r="C22" s="72">
        <v>69.819999999999993</v>
      </c>
      <c r="D22"/>
    </row>
    <row r="23" spans="1:4" s="98" customFormat="1" x14ac:dyDescent="0.25">
      <c r="A23" s="65" t="s">
        <v>390</v>
      </c>
      <c r="B23" s="68" t="s">
        <v>14</v>
      </c>
      <c r="C23" s="72">
        <v>99.5</v>
      </c>
      <c r="D23"/>
    </row>
    <row r="24" spans="1:4" s="98" customFormat="1" x14ac:dyDescent="0.25">
      <c r="A24" s="65" t="s">
        <v>391</v>
      </c>
      <c r="B24" s="68" t="s">
        <v>14</v>
      </c>
      <c r="C24" s="72">
        <v>127.48</v>
      </c>
      <c r="D24"/>
    </row>
    <row r="25" spans="1:4" s="98" customFormat="1" ht="12.75" x14ac:dyDescent="0.2">
      <c r="A25" s="100" t="s">
        <v>741</v>
      </c>
      <c r="B25" s="101" t="s">
        <v>185</v>
      </c>
      <c r="C25" s="99">
        <v>42</v>
      </c>
    </row>
    <row r="26" spans="1:4" x14ac:dyDescent="0.25">
      <c r="A26" s="100" t="s">
        <v>739</v>
      </c>
      <c r="B26" s="101" t="s">
        <v>185</v>
      </c>
      <c r="C26" s="99">
        <v>59</v>
      </c>
      <c r="D26" s="98"/>
    </row>
    <row r="27" spans="1:4" x14ac:dyDescent="0.25">
      <c r="A27" s="100" t="s">
        <v>735</v>
      </c>
      <c r="B27" s="101" t="s">
        <v>185</v>
      </c>
      <c r="C27" s="99">
        <v>74.88</v>
      </c>
      <c r="D27" s="98"/>
    </row>
    <row r="28" spans="1:4" x14ac:dyDescent="0.25">
      <c r="A28" s="100" t="s">
        <v>734</v>
      </c>
      <c r="B28" s="101" t="s">
        <v>185</v>
      </c>
      <c r="C28" s="99">
        <v>105</v>
      </c>
      <c r="D28" s="98"/>
    </row>
    <row r="29" spans="1:4" x14ac:dyDescent="0.25">
      <c r="A29" s="100" t="s">
        <v>745</v>
      </c>
      <c r="B29" s="101" t="s">
        <v>185</v>
      </c>
      <c r="C29" s="99">
        <v>12.78</v>
      </c>
      <c r="D29" s="98"/>
    </row>
    <row r="30" spans="1:4" x14ac:dyDescent="0.25">
      <c r="A30" s="100" t="s">
        <v>746</v>
      </c>
      <c r="B30" s="101" t="s">
        <v>185</v>
      </c>
      <c r="C30" s="99">
        <v>121.53</v>
      </c>
      <c r="D30" s="98"/>
    </row>
    <row r="31" spans="1:4" x14ac:dyDescent="0.25">
      <c r="A31" s="100" t="s">
        <v>744</v>
      </c>
      <c r="B31" s="101" t="s">
        <v>185</v>
      </c>
      <c r="C31" s="99">
        <v>19.850000000000001</v>
      </c>
      <c r="D31" s="98"/>
    </row>
    <row r="32" spans="1:4" x14ac:dyDescent="0.25">
      <c r="A32" s="100" t="s">
        <v>743</v>
      </c>
      <c r="B32" s="101" t="s">
        <v>185</v>
      </c>
      <c r="C32" s="99">
        <v>28.74</v>
      </c>
      <c r="D32" s="98"/>
    </row>
    <row r="33" spans="1:4" x14ac:dyDescent="0.25">
      <c r="A33" s="100" t="s">
        <v>724</v>
      </c>
      <c r="B33" s="101" t="s">
        <v>185</v>
      </c>
      <c r="C33" s="99">
        <v>420.17</v>
      </c>
      <c r="D33" s="98"/>
    </row>
    <row r="34" spans="1:4" x14ac:dyDescent="0.25">
      <c r="A34" s="100" t="s">
        <v>742</v>
      </c>
      <c r="B34" s="101" t="s">
        <v>185</v>
      </c>
      <c r="C34" s="99">
        <v>13.28</v>
      </c>
      <c r="D34" s="98"/>
    </row>
    <row r="35" spans="1:4" x14ac:dyDescent="0.25">
      <c r="A35" s="100" t="s">
        <v>740</v>
      </c>
      <c r="B35" s="101" t="s">
        <v>185</v>
      </c>
      <c r="C35" s="99">
        <v>19.68</v>
      </c>
      <c r="D35" s="98"/>
    </row>
    <row r="36" spans="1:4" x14ac:dyDescent="0.25">
      <c r="A36" s="100" t="s">
        <v>736</v>
      </c>
      <c r="B36" s="101" t="s">
        <v>185</v>
      </c>
      <c r="C36" s="99">
        <v>30.6</v>
      </c>
      <c r="D36" s="98"/>
    </row>
    <row r="37" spans="1:4" x14ac:dyDescent="0.25">
      <c r="A37" s="100" t="s">
        <v>732</v>
      </c>
      <c r="B37" s="101" t="s">
        <v>185</v>
      </c>
      <c r="C37" s="99">
        <v>47.4</v>
      </c>
      <c r="D37" s="98"/>
    </row>
    <row r="38" spans="1:4" x14ac:dyDescent="0.25">
      <c r="A38" s="100" t="s">
        <v>731</v>
      </c>
      <c r="B38" s="101" t="s">
        <v>185</v>
      </c>
      <c r="C38" s="99">
        <v>74.39</v>
      </c>
      <c r="D38" s="98"/>
    </row>
    <row r="39" spans="1:4" x14ac:dyDescent="0.25">
      <c r="A39" s="100" t="s">
        <v>738</v>
      </c>
      <c r="B39" s="101" t="s">
        <v>185</v>
      </c>
      <c r="C39" s="99">
        <v>53.97</v>
      </c>
      <c r="D39" s="98"/>
    </row>
    <row r="40" spans="1:4" x14ac:dyDescent="0.25">
      <c r="A40" s="100" t="s">
        <v>733</v>
      </c>
      <c r="B40" s="101" t="s">
        <v>185</v>
      </c>
      <c r="C40" s="99">
        <v>42</v>
      </c>
      <c r="D40" s="98"/>
    </row>
    <row r="41" spans="1:4" x14ac:dyDescent="0.25">
      <c r="A41" s="100" t="s">
        <v>726</v>
      </c>
      <c r="B41" s="101" t="s">
        <v>185</v>
      </c>
      <c r="C41" s="99">
        <v>220.92</v>
      </c>
      <c r="D41" s="98"/>
    </row>
    <row r="42" spans="1:4" x14ac:dyDescent="0.25">
      <c r="A42" s="100" t="s">
        <v>725</v>
      </c>
      <c r="B42" s="101" t="s">
        <v>185</v>
      </c>
      <c r="C42" s="99">
        <v>345.84</v>
      </c>
      <c r="D42" s="98"/>
    </row>
    <row r="43" spans="1:4" x14ac:dyDescent="0.25">
      <c r="A43" s="100" t="s">
        <v>723</v>
      </c>
      <c r="B43" s="101" t="s">
        <v>185</v>
      </c>
      <c r="C43" s="99">
        <v>748.34</v>
      </c>
      <c r="D43" s="98"/>
    </row>
    <row r="44" spans="1:4" ht="16.5" customHeight="1" x14ac:dyDescent="0.25">
      <c r="A44" s="100" t="s">
        <v>730</v>
      </c>
      <c r="B44" s="101" t="s">
        <v>185</v>
      </c>
      <c r="C44" s="99">
        <v>100.07</v>
      </c>
      <c r="D44" s="98"/>
    </row>
    <row r="45" spans="1:4" ht="16.5" customHeight="1" x14ac:dyDescent="0.25">
      <c r="A45" s="100" t="s">
        <v>727</v>
      </c>
      <c r="B45" s="101" t="s">
        <v>185</v>
      </c>
      <c r="C45" s="99">
        <v>146.07</v>
      </c>
      <c r="D45" s="98"/>
    </row>
    <row r="46" spans="1:4" x14ac:dyDescent="0.25">
      <c r="A46" s="65" t="s">
        <v>392</v>
      </c>
      <c r="B46" s="68" t="s">
        <v>14</v>
      </c>
      <c r="C46" s="72">
        <v>2.1800000000000002</v>
      </c>
    </row>
    <row r="47" spans="1:4" x14ac:dyDescent="0.25">
      <c r="A47" s="100" t="s">
        <v>829</v>
      </c>
      <c r="B47" s="101" t="s">
        <v>14</v>
      </c>
      <c r="C47" s="99">
        <v>12.75</v>
      </c>
      <c r="D47" s="98"/>
    </row>
    <row r="48" spans="1:4" x14ac:dyDescent="0.25">
      <c r="A48" s="65" t="s">
        <v>393</v>
      </c>
      <c r="B48" s="68" t="s">
        <v>14</v>
      </c>
      <c r="C48" s="72">
        <v>24.68</v>
      </c>
    </row>
    <row r="49" spans="1:4" x14ac:dyDescent="0.25">
      <c r="A49" s="65" t="s">
        <v>394</v>
      </c>
      <c r="B49" s="68" t="s">
        <v>14</v>
      </c>
      <c r="C49" s="72">
        <v>50.37</v>
      </c>
    </row>
    <row r="50" spans="1:4" x14ac:dyDescent="0.25">
      <c r="A50" s="65" t="s">
        <v>395</v>
      </c>
      <c r="B50" s="68" t="s">
        <v>14</v>
      </c>
      <c r="C50" s="72">
        <v>24.68</v>
      </c>
    </row>
    <row r="51" spans="1:4" x14ac:dyDescent="0.25">
      <c r="A51" s="65" t="s">
        <v>396</v>
      </c>
      <c r="B51" s="68" t="s">
        <v>14</v>
      </c>
      <c r="C51" s="72">
        <v>35.26</v>
      </c>
    </row>
    <row r="52" spans="1:4" x14ac:dyDescent="0.25">
      <c r="A52" s="100" t="s">
        <v>838</v>
      </c>
      <c r="B52" s="101" t="s">
        <v>14</v>
      </c>
      <c r="C52" s="99">
        <v>50.79</v>
      </c>
      <c r="D52" s="98"/>
    </row>
    <row r="53" spans="1:4" x14ac:dyDescent="0.25">
      <c r="A53" s="100" t="s">
        <v>830</v>
      </c>
      <c r="B53" s="101" t="s">
        <v>14</v>
      </c>
      <c r="C53" s="99">
        <v>12.75</v>
      </c>
      <c r="D53" s="98"/>
    </row>
    <row r="54" spans="1:4" x14ac:dyDescent="0.25">
      <c r="A54" s="100" t="s">
        <v>831</v>
      </c>
      <c r="B54" s="101" t="s">
        <v>14</v>
      </c>
      <c r="C54" s="99">
        <v>34.18</v>
      </c>
      <c r="D54" s="98"/>
    </row>
    <row r="55" spans="1:4" ht="38.25" x14ac:dyDescent="0.25">
      <c r="A55" s="65" t="s">
        <v>397</v>
      </c>
      <c r="B55" s="68" t="s">
        <v>14</v>
      </c>
      <c r="C55" s="72">
        <v>31779.66</v>
      </c>
    </row>
    <row r="56" spans="1:4" x14ac:dyDescent="0.25">
      <c r="A56" s="65" t="s">
        <v>398</v>
      </c>
      <c r="B56" s="68" t="s">
        <v>14</v>
      </c>
      <c r="C56" s="72">
        <v>68.47</v>
      </c>
    </row>
    <row r="57" spans="1:4" x14ac:dyDescent="0.25">
      <c r="A57" s="65" t="s">
        <v>399</v>
      </c>
      <c r="B57" s="68" t="s">
        <v>14</v>
      </c>
      <c r="C57" s="72">
        <v>69.52</v>
      </c>
    </row>
    <row r="58" spans="1:4" x14ac:dyDescent="0.25">
      <c r="A58" s="65" t="s">
        <v>400</v>
      </c>
      <c r="B58" s="68" t="s">
        <v>14</v>
      </c>
      <c r="C58" s="72">
        <v>50.59</v>
      </c>
    </row>
    <row r="59" spans="1:4" x14ac:dyDescent="0.25">
      <c r="A59" s="65" t="s">
        <v>401</v>
      </c>
      <c r="B59" s="68" t="s">
        <v>14</v>
      </c>
      <c r="C59" s="72">
        <v>50.59</v>
      </c>
    </row>
    <row r="60" spans="1:4" x14ac:dyDescent="0.25">
      <c r="A60" s="100" t="s">
        <v>803</v>
      </c>
      <c r="B60" s="101" t="s">
        <v>14</v>
      </c>
      <c r="C60" s="99">
        <v>85.6</v>
      </c>
      <c r="D60" s="98"/>
    </row>
    <row r="61" spans="1:4" x14ac:dyDescent="0.25">
      <c r="A61" s="100" t="s">
        <v>804</v>
      </c>
      <c r="B61" s="101" t="s">
        <v>14</v>
      </c>
      <c r="C61" s="99">
        <v>95.7</v>
      </c>
      <c r="D61" s="98"/>
    </row>
    <row r="62" spans="1:4" x14ac:dyDescent="0.25">
      <c r="A62" s="100" t="s">
        <v>805</v>
      </c>
      <c r="B62" s="101" t="s">
        <v>14</v>
      </c>
      <c r="C62" s="99">
        <v>38.200000000000003</v>
      </c>
      <c r="D62" s="98"/>
    </row>
    <row r="63" spans="1:4" x14ac:dyDescent="0.25">
      <c r="A63" s="100" t="s">
        <v>806</v>
      </c>
      <c r="B63" s="101" t="s">
        <v>14</v>
      </c>
      <c r="C63" s="99">
        <v>45.3</v>
      </c>
      <c r="D63" s="98"/>
    </row>
    <row r="64" spans="1:4" x14ac:dyDescent="0.25">
      <c r="A64" s="65" t="s">
        <v>402</v>
      </c>
      <c r="B64" s="68" t="s">
        <v>14</v>
      </c>
      <c r="C64" s="72">
        <v>2.0299999999999998</v>
      </c>
    </row>
    <row r="65" spans="1:4" x14ac:dyDescent="0.25">
      <c r="A65" s="65" t="s">
        <v>403</v>
      </c>
      <c r="B65" s="68" t="s">
        <v>14</v>
      </c>
      <c r="C65" s="72">
        <v>2.85</v>
      </c>
    </row>
    <row r="66" spans="1:4" s="98" customFormat="1" x14ac:dyDescent="0.25">
      <c r="A66" s="65" t="s">
        <v>404</v>
      </c>
      <c r="B66" s="68" t="s">
        <v>14</v>
      </c>
      <c r="C66" s="72">
        <v>338.98</v>
      </c>
      <c r="D66"/>
    </row>
    <row r="67" spans="1:4" s="98" customFormat="1" ht="12.75" x14ac:dyDescent="0.2">
      <c r="A67" s="100" t="s">
        <v>810</v>
      </c>
      <c r="B67" s="101" t="s">
        <v>14</v>
      </c>
      <c r="C67" s="99">
        <v>66.94</v>
      </c>
    </row>
    <row r="68" spans="1:4" s="98" customFormat="1" ht="12.75" x14ac:dyDescent="0.2">
      <c r="A68" s="100" t="s">
        <v>808</v>
      </c>
      <c r="B68" s="101" t="s">
        <v>14</v>
      </c>
      <c r="C68" s="99">
        <v>53.82</v>
      </c>
    </row>
    <row r="69" spans="1:4" s="98" customFormat="1" ht="12.75" x14ac:dyDescent="0.2">
      <c r="A69" s="100" t="s">
        <v>809</v>
      </c>
      <c r="B69" s="101" t="s">
        <v>14</v>
      </c>
      <c r="C69" s="99">
        <v>104.67</v>
      </c>
    </row>
    <row r="70" spans="1:4" s="98" customFormat="1" ht="12.75" x14ac:dyDescent="0.2">
      <c r="A70" s="100" t="s">
        <v>807</v>
      </c>
      <c r="B70" s="101" t="s">
        <v>14</v>
      </c>
      <c r="C70" s="99">
        <v>164.16</v>
      </c>
    </row>
    <row r="71" spans="1:4" s="98" customFormat="1" ht="12.75" x14ac:dyDescent="0.2">
      <c r="A71" s="100" t="s">
        <v>848</v>
      </c>
      <c r="B71" s="101" t="s">
        <v>14</v>
      </c>
      <c r="C71" s="99">
        <v>215</v>
      </c>
    </row>
    <row r="72" spans="1:4" s="98" customFormat="1" x14ac:dyDescent="0.25">
      <c r="A72" s="65" t="s">
        <v>405</v>
      </c>
      <c r="B72" s="68" t="s">
        <v>14</v>
      </c>
      <c r="C72" s="72">
        <v>72</v>
      </c>
      <c r="D72"/>
    </row>
    <row r="73" spans="1:4" s="98" customFormat="1" ht="12.75" x14ac:dyDescent="0.2">
      <c r="A73" s="100" t="s">
        <v>824</v>
      </c>
      <c r="B73" s="101" t="s">
        <v>14</v>
      </c>
      <c r="C73" s="99">
        <v>43.07</v>
      </c>
    </row>
    <row r="74" spans="1:4" s="98" customFormat="1" ht="12.75" x14ac:dyDescent="0.2">
      <c r="A74" s="100" t="s">
        <v>816</v>
      </c>
      <c r="B74" s="101" t="s">
        <v>14</v>
      </c>
      <c r="C74" s="99">
        <v>150</v>
      </c>
    </row>
    <row r="75" spans="1:4" s="98" customFormat="1" x14ac:dyDescent="0.25">
      <c r="A75" s="65" t="s">
        <v>406</v>
      </c>
      <c r="B75" s="68" t="s">
        <v>14</v>
      </c>
      <c r="C75" s="72">
        <v>42.37</v>
      </c>
      <c r="D75"/>
    </row>
    <row r="76" spans="1:4" s="98" customFormat="1" x14ac:dyDescent="0.25">
      <c r="A76" s="65" t="s">
        <v>407</v>
      </c>
      <c r="B76" s="68" t="s">
        <v>14</v>
      </c>
      <c r="C76" s="72">
        <v>101.69</v>
      </c>
      <c r="D76"/>
    </row>
    <row r="77" spans="1:4" s="98" customFormat="1" ht="12.75" x14ac:dyDescent="0.2">
      <c r="A77" s="100" t="s">
        <v>854</v>
      </c>
      <c r="B77" s="101" t="s">
        <v>14</v>
      </c>
      <c r="C77" s="99">
        <v>92.38</v>
      </c>
    </row>
    <row r="78" spans="1:4" s="98" customFormat="1" ht="12.75" x14ac:dyDescent="0.2">
      <c r="A78" s="100" t="s">
        <v>787</v>
      </c>
      <c r="B78" s="101" t="s">
        <v>14</v>
      </c>
      <c r="C78" s="99">
        <v>9200</v>
      </c>
    </row>
    <row r="79" spans="1:4" s="98" customFormat="1" ht="25.5" x14ac:dyDescent="0.25">
      <c r="A79" s="65" t="s">
        <v>408</v>
      </c>
      <c r="B79" s="68" t="s">
        <v>14</v>
      </c>
      <c r="C79" s="72">
        <v>26880</v>
      </c>
      <c r="D79"/>
    </row>
    <row r="80" spans="1:4" s="98" customFormat="1" x14ac:dyDescent="0.25">
      <c r="A80" s="65" t="s">
        <v>409</v>
      </c>
      <c r="B80" s="68" t="s">
        <v>185</v>
      </c>
      <c r="C80" s="72">
        <v>130.25</v>
      </c>
      <c r="D80"/>
    </row>
    <row r="81" spans="1:4" s="98" customFormat="1" x14ac:dyDescent="0.25">
      <c r="A81" s="65" t="s">
        <v>410</v>
      </c>
      <c r="B81" s="68" t="s">
        <v>185</v>
      </c>
      <c r="C81" s="72">
        <v>31.11</v>
      </c>
      <c r="D81"/>
    </row>
    <row r="82" spans="1:4" s="98" customFormat="1" x14ac:dyDescent="0.25">
      <c r="A82" s="65" t="s">
        <v>411</v>
      </c>
      <c r="B82" s="68" t="s">
        <v>185</v>
      </c>
      <c r="C82" s="72">
        <v>63.18</v>
      </c>
      <c r="D82"/>
    </row>
    <row r="83" spans="1:4" s="98" customFormat="1" x14ac:dyDescent="0.25">
      <c r="A83" s="65" t="s">
        <v>412</v>
      </c>
      <c r="B83" s="68" t="s">
        <v>185</v>
      </c>
      <c r="C83" s="72">
        <v>174.33</v>
      </c>
      <c r="D83"/>
    </row>
    <row r="84" spans="1:4" s="98" customFormat="1" x14ac:dyDescent="0.25">
      <c r="A84" s="65" t="s">
        <v>413</v>
      </c>
      <c r="B84" s="68" t="s">
        <v>185</v>
      </c>
      <c r="C84" s="72">
        <v>25.5</v>
      </c>
      <c r="D84"/>
    </row>
    <row r="85" spans="1:4" s="98" customFormat="1" x14ac:dyDescent="0.25">
      <c r="A85" s="65" t="s">
        <v>414</v>
      </c>
      <c r="B85" s="68" t="s">
        <v>185</v>
      </c>
      <c r="C85" s="72">
        <v>66.239999999999995</v>
      </c>
      <c r="D85"/>
    </row>
    <row r="86" spans="1:4" s="98" customFormat="1" x14ac:dyDescent="0.25">
      <c r="A86" s="65" t="s">
        <v>415</v>
      </c>
      <c r="B86" s="68" t="s">
        <v>185</v>
      </c>
      <c r="C86" s="72">
        <v>78.14</v>
      </c>
      <c r="D86"/>
    </row>
    <row r="87" spans="1:4" s="98" customFormat="1" x14ac:dyDescent="0.25">
      <c r="A87" s="65" t="s">
        <v>416</v>
      </c>
      <c r="B87" s="68" t="s">
        <v>185</v>
      </c>
      <c r="C87" s="72">
        <v>92.11</v>
      </c>
      <c r="D87"/>
    </row>
    <row r="88" spans="1:4" s="98" customFormat="1" x14ac:dyDescent="0.25">
      <c r="A88" s="65" t="s">
        <v>417</v>
      </c>
      <c r="B88" s="68" t="s">
        <v>185</v>
      </c>
      <c r="C88" s="72">
        <v>108.21</v>
      </c>
      <c r="D88"/>
    </row>
    <row r="89" spans="1:4" s="98" customFormat="1" ht="12.75" x14ac:dyDescent="0.2">
      <c r="A89" s="100" t="s">
        <v>728</v>
      </c>
      <c r="B89" s="101" t="s">
        <v>185</v>
      </c>
      <c r="C89" s="99">
        <v>220</v>
      </c>
    </row>
    <row r="90" spans="1:4" x14ac:dyDescent="0.25">
      <c r="A90" s="65" t="s">
        <v>418</v>
      </c>
      <c r="B90" s="68" t="s">
        <v>185</v>
      </c>
      <c r="C90" s="72">
        <v>63.91</v>
      </c>
    </row>
    <row r="91" spans="1:4" x14ac:dyDescent="0.25">
      <c r="A91" s="65" t="s">
        <v>419</v>
      </c>
      <c r="B91" s="68" t="s">
        <v>185</v>
      </c>
      <c r="C91" s="72">
        <v>70.290000000000006</v>
      </c>
    </row>
    <row r="92" spans="1:4" x14ac:dyDescent="0.25">
      <c r="A92" s="65" t="s">
        <v>420</v>
      </c>
      <c r="B92" s="68" t="s">
        <v>185</v>
      </c>
      <c r="C92" s="72">
        <v>181.49</v>
      </c>
    </row>
    <row r="93" spans="1:4" x14ac:dyDescent="0.25">
      <c r="A93" s="65" t="s">
        <v>421</v>
      </c>
      <c r="B93" s="68" t="s">
        <v>185</v>
      </c>
      <c r="C93" s="72">
        <v>14.31</v>
      </c>
    </row>
    <row r="94" spans="1:4" x14ac:dyDescent="0.25">
      <c r="A94" s="65" t="s">
        <v>422</v>
      </c>
      <c r="B94" s="68" t="s">
        <v>185</v>
      </c>
      <c r="C94" s="72">
        <v>99.42</v>
      </c>
    </row>
    <row r="95" spans="1:4" x14ac:dyDescent="0.25">
      <c r="A95" s="65" t="s">
        <v>423</v>
      </c>
      <c r="B95" s="68" t="s">
        <v>185</v>
      </c>
      <c r="C95" s="72">
        <v>27.32</v>
      </c>
    </row>
    <row r="96" spans="1:4" x14ac:dyDescent="0.25">
      <c r="A96" s="65" t="s">
        <v>424</v>
      </c>
      <c r="B96" s="68" t="s">
        <v>185</v>
      </c>
      <c r="C96" s="72">
        <v>32.83</v>
      </c>
    </row>
    <row r="97" spans="1:3" x14ac:dyDescent="0.25">
      <c r="A97" s="65" t="s">
        <v>425</v>
      </c>
      <c r="B97" s="68" t="s">
        <v>185</v>
      </c>
      <c r="C97" s="72">
        <v>15.1</v>
      </c>
    </row>
    <row r="98" spans="1:3" x14ac:dyDescent="0.25">
      <c r="A98" s="65" t="s">
        <v>426</v>
      </c>
      <c r="B98" s="68" t="s">
        <v>185</v>
      </c>
      <c r="C98" s="72">
        <v>12.41</v>
      </c>
    </row>
    <row r="99" spans="1:3" x14ac:dyDescent="0.25">
      <c r="A99" s="65" t="s">
        <v>427</v>
      </c>
      <c r="B99" s="68" t="s">
        <v>185</v>
      </c>
      <c r="C99" s="72">
        <v>20.81</v>
      </c>
    </row>
    <row r="100" spans="1:3" x14ac:dyDescent="0.25">
      <c r="A100" s="65" t="s">
        <v>428</v>
      </c>
      <c r="B100" s="68" t="s">
        <v>185</v>
      </c>
      <c r="C100" s="72">
        <v>20.81</v>
      </c>
    </row>
    <row r="101" spans="1:3" x14ac:dyDescent="0.25">
      <c r="A101" s="65" t="s">
        <v>429</v>
      </c>
      <c r="B101" s="68" t="s">
        <v>185</v>
      </c>
      <c r="C101" s="72">
        <v>17.05</v>
      </c>
    </row>
    <row r="102" spans="1:3" x14ac:dyDescent="0.25">
      <c r="A102" s="65" t="s">
        <v>430</v>
      </c>
      <c r="B102" s="68" t="s">
        <v>185</v>
      </c>
      <c r="C102" s="72">
        <v>26.91</v>
      </c>
    </row>
    <row r="103" spans="1:3" x14ac:dyDescent="0.25">
      <c r="A103" s="65" t="s">
        <v>431</v>
      </c>
      <c r="B103" s="68" t="s">
        <v>185</v>
      </c>
      <c r="C103" s="72">
        <v>28.69</v>
      </c>
    </row>
    <row r="104" spans="1:3" x14ac:dyDescent="0.25">
      <c r="A104" s="65" t="s">
        <v>432</v>
      </c>
      <c r="B104" s="68" t="s">
        <v>185</v>
      </c>
      <c r="C104" s="72">
        <v>42.71</v>
      </c>
    </row>
    <row r="105" spans="1:3" x14ac:dyDescent="0.25">
      <c r="A105" s="65" t="s">
        <v>433</v>
      </c>
      <c r="B105" s="68" t="s">
        <v>185</v>
      </c>
      <c r="C105" s="72">
        <v>63.92</v>
      </c>
    </row>
    <row r="106" spans="1:3" x14ac:dyDescent="0.25">
      <c r="A106" s="65" t="s">
        <v>434</v>
      </c>
      <c r="B106" s="68" t="s">
        <v>185</v>
      </c>
      <c r="C106" s="72">
        <v>37.880000000000003</v>
      </c>
    </row>
    <row r="107" spans="1:3" x14ac:dyDescent="0.25">
      <c r="A107" s="65" t="s">
        <v>435</v>
      </c>
      <c r="B107" s="68" t="s">
        <v>185</v>
      </c>
      <c r="C107" s="72">
        <v>265.3</v>
      </c>
    </row>
    <row r="108" spans="1:3" x14ac:dyDescent="0.25">
      <c r="A108" s="65" t="s">
        <v>436</v>
      </c>
      <c r="B108" s="68" t="s">
        <v>185</v>
      </c>
      <c r="C108" s="72">
        <v>270.89999999999998</v>
      </c>
    </row>
    <row r="109" spans="1:3" x14ac:dyDescent="0.25">
      <c r="A109" s="65" t="s">
        <v>437</v>
      </c>
      <c r="B109" s="68" t="s">
        <v>185</v>
      </c>
      <c r="C109" s="72">
        <v>46.57</v>
      </c>
    </row>
    <row r="110" spans="1:3" x14ac:dyDescent="0.25">
      <c r="A110" s="65" t="s">
        <v>438</v>
      </c>
      <c r="B110" s="68" t="s">
        <v>185</v>
      </c>
      <c r="C110" s="72">
        <v>418.62</v>
      </c>
    </row>
    <row r="111" spans="1:3" x14ac:dyDescent="0.25">
      <c r="A111" s="65" t="s">
        <v>439</v>
      </c>
      <c r="B111" s="68" t="s">
        <v>185</v>
      </c>
      <c r="C111" s="72">
        <v>581</v>
      </c>
    </row>
    <row r="112" spans="1:3" x14ac:dyDescent="0.25">
      <c r="A112" s="65" t="s">
        <v>440</v>
      </c>
      <c r="B112" s="68" t="s">
        <v>185</v>
      </c>
      <c r="C112" s="72">
        <v>71.52</v>
      </c>
    </row>
    <row r="113" spans="1:4" x14ac:dyDescent="0.25">
      <c r="A113" s="65" t="s">
        <v>441</v>
      </c>
      <c r="B113" s="68" t="s">
        <v>185</v>
      </c>
      <c r="C113" s="72">
        <v>103.8</v>
      </c>
    </row>
    <row r="114" spans="1:4" x14ac:dyDescent="0.25">
      <c r="A114" s="100" t="s">
        <v>756</v>
      </c>
      <c r="B114" s="101" t="s">
        <v>185</v>
      </c>
      <c r="C114" s="99">
        <v>131.15</v>
      </c>
      <c r="D114" s="98"/>
    </row>
    <row r="115" spans="1:4" x14ac:dyDescent="0.25">
      <c r="A115" s="100" t="s">
        <v>834</v>
      </c>
      <c r="B115" s="101" t="s">
        <v>14</v>
      </c>
      <c r="C115" s="99">
        <v>31.27</v>
      </c>
      <c r="D115" s="98"/>
    </row>
    <row r="116" spans="1:4" x14ac:dyDescent="0.25">
      <c r="A116" s="100" t="s">
        <v>835</v>
      </c>
      <c r="B116" s="101" t="s">
        <v>14</v>
      </c>
      <c r="C116" s="99">
        <v>63.55</v>
      </c>
      <c r="D116" s="98"/>
    </row>
    <row r="117" spans="1:4" x14ac:dyDescent="0.25">
      <c r="A117" s="100" t="s">
        <v>815</v>
      </c>
      <c r="B117" s="101" t="s">
        <v>14</v>
      </c>
      <c r="C117" s="99">
        <v>26.2</v>
      </c>
      <c r="D117" s="98"/>
    </row>
    <row r="118" spans="1:4" x14ac:dyDescent="0.25">
      <c r="A118" s="65" t="s">
        <v>442</v>
      </c>
      <c r="B118" s="68" t="s">
        <v>14</v>
      </c>
      <c r="C118" s="72">
        <v>9.83</v>
      </c>
    </row>
    <row r="119" spans="1:4" x14ac:dyDescent="0.25">
      <c r="A119" s="65" t="s">
        <v>443</v>
      </c>
      <c r="B119" s="68" t="s">
        <v>14</v>
      </c>
      <c r="C119" s="72">
        <v>27.03</v>
      </c>
    </row>
    <row r="120" spans="1:4" x14ac:dyDescent="0.25">
      <c r="A120" s="65" t="s">
        <v>444</v>
      </c>
      <c r="B120" s="68" t="s">
        <v>14</v>
      </c>
      <c r="C120" s="72">
        <v>18.3</v>
      </c>
    </row>
    <row r="121" spans="1:4" x14ac:dyDescent="0.25">
      <c r="A121" s="100" t="s">
        <v>853</v>
      </c>
      <c r="B121" s="101" t="s">
        <v>14</v>
      </c>
      <c r="C121" s="99">
        <v>21.28</v>
      </c>
      <c r="D121" s="98"/>
    </row>
    <row r="122" spans="1:4" x14ac:dyDescent="0.25">
      <c r="A122" s="100" t="s">
        <v>822</v>
      </c>
      <c r="B122" s="101" t="s">
        <v>14</v>
      </c>
      <c r="C122" s="99">
        <v>32.590000000000003</v>
      </c>
      <c r="D122" s="98"/>
    </row>
    <row r="123" spans="1:4" x14ac:dyDescent="0.25">
      <c r="A123" s="65" t="s">
        <v>445</v>
      </c>
      <c r="B123" s="68" t="s">
        <v>14</v>
      </c>
      <c r="C123" s="72">
        <v>91.5</v>
      </c>
    </row>
    <row r="124" spans="1:4" x14ac:dyDescent="0.25">
      <c r="A124" s="65" t="s">
        <v>446</v>
      </c>
      <c r="B124" s="68" t="s">
        <v>14</v>
      </c>
      <c r="C124" s="72">
        <v>115.5</v>
      </c>
    </row>
    <row r="125" spans="1:4" x14ac:dyDescent="0.25">
      <c r="A125" s="65" t="s">
        <v>447</v>
      </c>
      <c r="B125" s="68" t="s">
        <v>14</v>
      </c>
      <c r="C125" s="72">
        <v>156</v>
      </c>
    </row>
    <row r="126" spans="1:4" x14ac:dyDescent="0.25">
      <c r="A126" s="65" t="s">
        <v>448</v>
      </c>
      <c r="B126" s="68" t="s">
        <v>14</v>
      </c>
      <c r="C126" s="72">
        <v>30.51</v>
      </c>
    </row>
    <row r="127" spans="1:4" x14ac:dyDescent="0.25">
      <c r="A127" s="100" t="s">
        <v>823</v>
      </c>
      <c r="B127" s="101" t="s">
        <v>14</v>
      </c>
      <c r="C127" s="99">
        <v>16.829999999999998</v>
      </c>
      <c r="D127" s="98"/>
    </row>
    <row r="128" spans="1:4" x14ac:dyDescent="0.25">
      <c r="A128" s="65" t="s">
        <v>449</v>
      </c>
      <c r="B128" s="68" t="s">
        <v>14</v>
      </c>
      <c r="C128" s="72">
        <v>322.02999999999997</v>
      </c>
    </row>
    <row r="129" spans="1:4" x14ac:dyDescent="0.25">
      <c r="A129" s="65" t="s">
        <v>450</v>
      </c>
      <c r="B129" s="68" t="s">
        <v>14</v>
      </c>
      <c r="C129" s="72">
        <v>76.8</v>
      </c>
    </row>
    <row r="130" spans="1:4" x14ac:dyDescent="0.25">
      <c r="A130" s="65" t="s">
        <v>451</v>
      </c>
      <c r="B130" s="68" t="s">
        <v>14</v>
      </c>
      <c r="C130" s="72">
        <v>82.5</v>
      </c>
    </row>
    <row r="131" spans="1:4" x14ac:dyDescent="0.25">
      <c r="A131" s="65" t="s">
        <v>452</v>
      </c>
      <c r="B131" s="68" t="s">
        <v>14</v>
      </c>
      <c r="C131" s="72">
        <v>50.85</v>
      </c>
    </row>
    <row r="132" spans="1:4" s="98" customFormat="1" ht="12.75" x14ac:dyDescent="0.2">
      <c r="A132" s="100" t="s">
        <v>819</v>
      </c>
      <c r="B132" s="101" t="s">
        <v>14</v>
      </c>
      <c r="C132" s="99">
        <v>26</v>
      </c>
    </row>
    <row r="133" spans="1:4" s="98" customFormat="1" ht="12.75" x14ac:dyDescent="0.2">
      <c r="A133" s="100" t="s">
        <v>821</v>
      </c>
      <c r="B133" s="101" t="s">
        <v>14</v>
      </c>
      <c r="C133" s="99">
        <v>74</v>
      </c>
    </row>
    <row r="134" spans="1:4" s="98" customFormat="1" ht="12.75" x14ac:dyDescent="0.2">
      <c r="A134" s="100" t="s">
        <v>820</v>
      </c>
      <c r="B134" s="101" t="s">
        <v>14</v>
      </c>
      <c r="C134" s="99">
        <v>6.2</v>
      </c>
    </row>
    <row r="135" spans="1:4" s="98" customFormat="1" ht="12.75" x14ac:dyDescent="0.2">
      <c r="A135" s="100" t="s">
        <v>844</v>
      </c>
      <c r="B135" s="101" t="s">
        <v>14</v>
      </c>
      <c r="C135" s="99">
        <v>100.92</v>
      </c>
    </row>
    <row r="136" spans="1:4" s="98" customFormat="1" ht="12.75" x14ac:dyDescent="0.2">
      <c r="A136" s="100" t="s">
        <v>843</v>
      </c>
      <c r="B136" s="101" t="s">
        <v>14</v>
      </c>
      <c r="C136" s="99">
        <v>124.96</v>
      </c>
    </row>
    <row r="137" spans="1:4" s="98" customFormat="1" ht="12.75" x14ac:dyDescent="0.2">
      <c r="A137" s="100" t="s">
        <v>842</v>
      </c>
      <c r="B137" s="101" t="s">
        <v>14</v>
      </c>
      <c r="C137" s="99">
        <v>173.98</v>
      </c>
    </row>
    <row r="138" spans="1:4" s="98" customFormat="1" x14ac:dyDescent="0.25">
      <c r="A138" s="65" t="s">
        <v>453</v>
      </c>
      <c r="B138" s="68" t="s">
        <v>14</v>
      </c>
      <c r="C138" s="72">
        <v>101.19</v>
      </c>
      <c r="D138"/>
    </row>
    <row r="139" spans="1:4" s="98" customFormat="1" ht="12.75" x14ac:dyDescent="0.2">
      <c r="A139" s="100" t="s">
        <v>812</v>
      </c>
      <c r="B139" s="101" t="s">
        <v>14</v>
      </c>
      <c r="C139" s="99">
        <v>1150</v>
      </c>
    </row>
    <row r="140" spans="1:4" x14ac:dyDescent="0.25">
      <c r="A140" s="65" t="s">
        <v>454</v>
      </c>
      <c r="B140" s="68" t="s">
        <v>14</v>
      </c>
      <c r="C140" s="72">
        <v>665.85</v>
      </c>
    </row>
    <row r="141" spans="1:4" x14ac:dyDescent="0.25">
      <c r="A141" s="65" t="s">
        <v>455</v>
      </c>
      <c r="B141" s="68" t="s">
        <v>14</v>
      </c>
      <c r="C141" s="72">
        <v>119.25</v>
      </c>
    </row>
    <row r="142" spans="1:4" x14ac:dyDescent="0.25">
      <c r="A142" s="100" t="s">
        <v>760</v>
      </c>
      <c r="B142" s="101" t="s">
        <v>185</v>
      </c>
      <c r="C142" s="99">
        <v>54.15</v>
      </c>
      <c r="D142" s="98"/>
    </row>
    <row r="143" spans="1:4" x14ac:dyDescent="0.25">
      <c r="A143" s="100" t="s">
        <v>759</v>
      </c>
      <c r="B143" s="101" t="s">
        <v>185</v>
      </c>
      <c r="C143" s="99">
        <v>111.89</v>
      </c>
      <c r="D143" s="98"/>
    </row>
    <row r="144" spans="1:4" s="98" customFormat="1" ht="12.75" x14ac:dyDescent="0.2">
      <c r="A144" s="100" t="s">
        <v>758</v>
      </c>
      <c r="B144" s="101" t="s">
        <v>185</v>
      </c>
      <c r="C144" s="99">
        <v>159.08000000000001</v>
      </c>
    </row>
    <row r="145" spans="1:4" s="98" customFormat="1" ht="12.75" x14ac:dyDescent="0.2">
      <c r="A145" s="100" t="s">
        <v>851</v>
      </c>
      <c r="B145" s="101" t="s">
        <v>14</v>
      </c>
      <c r="C145" s="99">
        <v>80.56</v>
      </c>
    </row>
    <row r="146" spans="1:4" s="98" customFormat="1" x14ac:dyDescent="0.25">
      <c r="A146" s="65" t="s">
        <v>456</v>
      </c>
      <c r="B146" s="68" t="s">
        <v>14</v>
      </c>
      <c r="C146" s="72">
        <v>78</v>
      </c>
      <c r="D146"/>
    </row>
    <row r="147" spans="1:4" s="98" customFormat="1" x14ac:dyDescent="0.25">
      <c r="A147" s="65" t="s">
        <v>457</v>
      </c>
      <c r="B147" s="68" t="s">
        <v>14</v>
      </c>
      <c r="C147" s="72">
        <v>132</v>
      </c>
      <c r="D147"/>
    </row>
    <row r="148" spans="1:4" x14ac:dyDescent="0.25">
      <c r="A148" s="65" t="s">
        <v>458</v>
      </c>
      <c r="B148" s="68" t="s">
        <v>14</v>
      </c>
      <c r="C148" s="72">
        <v>185.25</v>
      </c>
    </row>
    <row r="149" spans="1:4" x14ac:dyDescent="0.25">
      <c r="A149" s="65" t="s">
        <v>459</v>
      </c>
      <c r="B149" s="68" t="s">
        <v>14</v>
      </c>
      <c r="C149" s="72">
        <v>23.19</v>
      </c>
    </row>
    <row r="150" spans="1:4" x14ac:dyDescent="0.25">
      <c r="A150" s="65" t="s">
        <v>460</v>
      </c>
      <c r="B150" s="68" t="s">
        <v>14</v>
      </c>
      <c r="C150" s="72">
        <v>111</v>
      </c>
    </row>
    <row r="151" spans="1:4" x14ac:dyDescent="0.25">
      <c r="A151" s="65" t="s">
        <v>461</v>
      </c>
      <c r="B151" s="68" t="s">
        <v>14</v>
      </c>
      <c r="C151" s="72">
        <v>423</v>
      </c>
    </row>
    <row r="152" spans="1:4" x14ac:dyDescent="0.25">
      <c r="A152" s="65" t="s">
        <v>462</v>
      </c>
      <c r="B152" s="68" t="s">
        <v>14</v>
      </c>
      <c r="C152" s="72">
        <v>317.25</v>
      </c>
    </row>
    <row r="153" spans="1:4" x14ac:dyDescent="0.25">
      <c r="A153" s="65" t="s">
        <v>463</v>
      </c>
      <c r="B153" s="68" t="s">
        <v>14</v>
      </c>
      <c r="C153" s="72">
        <v>390</v>
      </c>
    </row>
    <row r="154" spans="1:4" x14ac:dyDescent="0.25">
      <c r="A154" s="65" t="s">
        <v>464</v>
      </c>
      <c r="B154" s="68" t="s">
        <v>185</v>
      </c>
      <c r="C154" s="72">
        <v>25.59</v>
      </c>
    </row>
    <row r="155" spans="1:4" x14ac:dyDescent="0.25">
      <c r="A155" s="65" t="s">
        <v>465</v>
      </c>
      <c r="B155" s="68" t="s">
        <v>185</v>
      </c>
      <c r="C155" s="72">
        <v>82.15</v>
      </c>
    </row>
    <row r="156" spans="1:4" x14ac:dyDescent="0.25">
      <c r="A156" s="100" t="s">
        <v>765</v>
      </c>
      <c r="B156" s="101" t="s">
        <v>185</v>
      </c>
      <c r="C156" s="99">
        <v>25.53</v>
      </c>
      <c r="D156" s="98"/>
    </row>
    <row r="157" spans="1:4" x14ac:dyDescent="0.25">
      <c r="A157" s="100" t="s">
        <v>817</v>
      </c>
      <c r="B157" s="101" t="s">
        <v>14</v>
      </c>
      <c r="C157" s="99">
        <v>195</v>
      </c>
      <c r="D157" s="98"/>
    </row>
    <row r="158" spans="1:4" x14ac:dyDescent="0.25">
      <c r="A158" s="65" t="s">
        <v>466</v>
      </c>
      <c r="B158" s="68" t="s">
        <v>14</v>
      </c>
      <c r="C158" s="72">
        <v>67.8</v>
      </c>
    </row>
    <row r="159" spans="1:4" x14ac:dyDescent="0.25">
      <c r="A159" s="65" t="s">
        <v>467</v>
      </c>
      <c r="B159" s="68" t="s">
        <v>14</v>
      </c>
      <c r="C159" s="72">
        <v>33</v>
      </c>
    </row>
    <row r="160" spans="1:4" x14ac:dyDescent="0.25">
      <c r="A160" s="100" t="s">
        <v>845</v>
      </c>
      <c r="B160" s="101" t="s">
        <v>14</v>
      </c>
      <c r="C160" s="99">
        <v>33.24</v>
      </c>
      <c r="D160" s="98"/>
    </row>
    <row r="161" spans="1:4" x14ac:dyDescent="0.25">
      <c r="A161" s="100" t="s">
        <v>749</v>
      </c>
      <c r="B161" s="101" t="s">
        <v>185</v>
      </c>
      <c r="C161" s="99">
        <v>39</v>
      </c>
      <c r="D161" s="98"/>
    </row>
    <row r="162" spans="1:4" x14ac:dyDescent="0.25">
      <c r="A162" s="100" t="s">
        <v>750</v>
      </c>
      <c r="B162" s="101" t="s">
        <v>185</v>
      </c>
      <c r="C162" s="99">
        <v>61.65</v>
      </c>
      <c r="D162" s="98"/>
    </row>
    <row r="163" spans="1:4" x14ac:dyDescent="0.25">
      <c r="A163" s="100" t="s">
        <v>754</v>
      </c>
      <c r="B163" s="101" t="s">
        <v>185</v>
      </c>
      <c r="C163" s="99">
        <v>10.36</v>
      </c>
      <c r="D163" s="98"/>
    </row>
    <row r="164" spans="1:4" x14ac:dyDescent="0.25">
      <c r="A164" s="100" t="s">
        <v>747</v>
      </c>
      <c r="B164" s="101" t="s">
        <v>185</v>
      </c>
      <c r="C164" s="99">
        <v>14.51</v>
      </c>
      <c r="D164" s="98"/>
    </row>
    <row r="165" spans="1:4" x14ac:dyDescent="0.25">
      <c r="A165" s="100" t="s">
        <v>748</v>
      </c>
      <c r="B165" s="101" t="s">
        <v>185</v>
      </c>
      <c r="C165" s="99">
        <v>24.12</v>
      </c>
      <c r="D165" s="98"/>
    </row>
    <row r="166" spans="1:4" x14ac:dyDescent="0.25">
      <c r="A166" s="100" t="s">
        <v>753</v>
      </c>
      <c r="B166" s="101" t="s">
        <v>185</v>
      </c>
      <c r="C166" s="99">
        <v>377.21</v>
      </c>
      <c r="D166" s="98"/>
    </row>
    <row r="167" spans="1:4" x14ac:dyDescent="0.25">
      <c r="A167" s="100" t="s">
        <v>752</v>
      </c>
      <c r="B167" s="101" t="s">
        <v>185</v>
      </c>
      <c r="C167" s="99">
        <v>377.21</v>
      </c>
      <c r="D167" s="98"/>
    </row>
    <row r="168" spans="1:4" x14ac:dyDescent="0.25">
      <c r="A168" s="100" t="s">
        <v>751</v>
      </c>
      <c r="B168" s="101" t="s">
        <v>185</v>
      </c>
      <c r="C168" s="99">
        <v>377.21</v>
      </c>
      <c r="D168" s="98"/>
    </row>
    <row r="169" spans="1:4" x14ac:dyDescent="0.25">
      <c r="A169" s="65" t="s">
        <v>468</v>
      </c>
      <c r="B169" s="68" t="s">
        <v>14</v>
      </c>
      <c r="C169" s="72">
        <v>95.25</v>
      </c>
    </row>
    <row r="170" spans="1:4" x14ac:dyDescent="0.25">
      <c r="A170" s="100" t="s">
        <v>850</v>
      </c>
      <c r="B170" s="101" t="s">
        <v>14</v>
      </c>
      <c r="C170" s="99">
        <v>456.98</v>
      </c>
      <c r="D170" s="98"/>
    </row>
    <row r="171" spans="1:4" x14ac:dyDescent="0.25">
      <c r="A171" s="65" t="s">
        <v>469</v>
      </c>
      <c r="B171" s="68" t="s">
        <v>14</v>
      </c>
      <c r="C171" s="72">
        <v>222.03</v>
      </c>
    </row>
    <row r="172" spans="1:4" x14ac:dyDescent="0.25">
      <c r="A172" s="100" t="s">
        <v>849</v>
      </c>
      <c r="B172" s="101" t="s">
        <v>14</v>
      </c>
      <c r="C172" s="99">
        <v>859</v>
      </c>
      <c r="D172" s="98"/>
    </row>
    <row r="173" spans="1:4" x14ac:dyDescent="0.25">
      <c r="A173" s="65" t="s">
        <v>470</v>
      </c>
      <c r="B173" s="68" t="s">
        <v>14</v>
      </c>
      <c r="C173" s="72">
        <v>235.35</v>
      </c>
    </row>
    <row r="174" spans="1:4" x14ac:dyDescent="0.25">
      <c r="A174" s="100" t="s">
        <v>790</v>
      </c>
      <c r="B174" s="101" t="s">
        <v>14</v>
      </c>
      <c r="C174" s="99">
        <v>28600</v>
      </c>
      <c r="D174" s="98"/>
    </row>
    <row r="175" spans="1:4" x14ac:dyDescent="0.25">
      <c r="A175" s="65" t="s">
        <v>471</v>
      </c>
      <c r="B175" s="68" t="s">
        <v>14</v>
      </c>
      <c r="C175" s="72">
        <v>33.9</v>
      </c>
    </row>
    <row r="176" spans="1:4" ht="25.5" x14ac:dyDescent="0.25">
      <c r="A176" s="100" t="s">
        <v>757</v>
      </c>
      <c r="B176" s="101" t="s">
        <v>185</v>
      </c>
      <c r="C176" s="99">
        <v>94.84</v>
      </c>
      <c r="D176" s="98"/>
    </row>
    <row r="177" spans="1:4" x14ac:dyDescent="0.25">
      <c r="A177" s="100" t="s">
        <v>837</v>
      </c>
      <c r="B177" s="101" t="s">
        <v>14</v>
      </c>
      <c r="C177" s="99">
        <v>50.79</v>
      </c>
      <c r="D177" s="98"/>
    </row>
    <row r="178" spans="1:4" x14ac:dyDescent="0.25">
      <c r="A178" s="100" t="s">
        <v>827</v>
      </c>
      <c r="B178" s="101" t="s">
        <v>14</v>
      </c>
      <c r="C178" s="99">
        <v>12.75</v>
      </c>
      <c r="D178" s="98"/>
    </row>
    <row r="179" spans="1:4" x14ac:dyDescent="0.25">
      <c r="A179" s="100" t="s">
        <v>828</v>
      </c>
      <c r="B179" s="101" t="s">
        <v>14</v>
      </c>
      <c r="C179" s="99">
        <v>34.18</v>
      </c>
      <c r="D179" s="98"/>
    </row>
    <row r="180" spans="1:4" x14ac:dyDescent="0.25">
      <c r="A180" s="65" t="s">
        <v>472</v>
      </c>
      <c r="B180" s="68" t="s">
        <v>14</v>
      </c>
      <c r="C180" s="72">
        <v>41.45</v>
      </c>
    </row>
    <row r="181" spans="1:4" x14ac:dyDescent="0.25">
      <c r="A181" s="65" t="s">
        <v>473</v>
      </c>
      <c r="B181" s="68" t="s">
        <v>14</v>
      </c>
      <c r="C181" s="72">
        <v>20.309999999999999</v>
      </c>
    </row>
    <row r="182" spans="1:4" s="98" customFormat="1" x14ac:dyDescent="0.25">
      <c r="A182" s="65" t="s">
        <v>474</v>
      </c>
      <c r="B182" s="68" t="s">
        <v>14</v>
      </c>
      <c r="C182" s="72">
        <v>29.02</v>
      </c>
      <c r="D182"/>
    </row>
    <row r="183" spans="1:4" s="98" customFormat="1" x14ac:dyDescent="0.25">
      <c r="A183" s="65" t="s">
        <v>475</v>
      </c>
      <c r="B183" s="68" t="s">
        <v>14</v>
      </c>
      <c r="C183" s="72">
        <v>144.91999999999999</v>
      </c>
      <c r="D183"/>
    </row>
    <row r="184" spans="1:4" s="98" customFormat="1" ht="12.75" x14ac:dyDescent="0.2">
      <c r="A184" s="100" t="s">
        <v>764</v>
      </c>
      <c r="B184" s="101" t="s">
        <v>185</v>
      </c>
      <c r="C184" s="99">
        <v>108.54</v>
      </c>
    </row>
    <row r="185" spans="1:4" s="98" customFormat="1" ht="12.75" x14ac:dyDescent="0.2">
      <c r="A185" s="100" t="s">
        <v>763</v>
      </c>
      <c r="B185" s="101" t="s">
        <v>185</v>
      </c>
      <c r="C185" s="99">
        <v>184.48</v>
      </c>
    </row>
    <row r="186" spans="1:4" s="98" customFormat="1" ht="12.75" x14ac:dyDescent="0.2">
      <c r="A186" s="100" t="s">
        <v>761</v>
      </c>
      <c r="B186" s="101" t="s">
        <v>185</v>
      </c>
      <c r="C186" s="99">
        <v>316.13</v>
      </c>
    </row>
    <row r="187" spans="1:4" s="98" customFormat="1" ht="12.75" x14ac:dyDescent="0.2">
      <c r="A187" s="100" t="s">
        <v>762</v>
      </c>
      <c r="B187" s="101" t="s">
        <v>185</v>
      </c>
      <c r="C187" s="99">
        <v>227.38</v>
      </c>
    </row>
    <row r="188" spans="1:4" s="98" customFormat="1" ht="12.75" x14ac:dyDescent="0.2">
      <c r="A188" s="100" t="s">
        <v>737</v>
      </c>
      <c r="B188" s="101" t="s">
        <v>185</v>
      </c>
      <c r="C188" s="99">
        <v>81.89</v>
      </c>
    </row>
    <row r="189" spans="1:4" s="98" customFormat="1" ht="12.75" x14ac:dyDescent="0.2">
      <c r="A189" s="100" t="s">
        <v>729</v>
      </c>
      <c r="B189" s="101" t="s">
        <v>185</v>
      </c>
      <c r="C189" s="99">
        <v>235.47</v>
      </c>
    </row>
    <row r="190" spans="1:4" s="98" customFormat="1" x14ac:dyDescent="0.25">
      <c r="A190" s="65" t="s">
        <v>476</v>
      </c>
      <c r="B190" s="68" t="s">
        <v>185</v>
      </c>
      <c r="C190" s="72">
        <v>12.39</v>
      </c>
      <c r="D190"/>
    </row>
    <row r="191" spans="1:4" s="98" customFormat="1" x14ac:dyDescent="0.25">
      <c r="A191" s="65" t="s">
        <v>477</v>
      </c>
      <c r="B191" s="68" t="s">
        <v>185</v>
      </c>
      <c r="C191" s="72">
        <v>18.34</v>
      </c>
      <c r="D191"/>
    </row>
    <row r="192" spans="1:4" s="98" customFormat="1" x14ac:dyDescent="0.25">
      <c r="A192" s="65" t="s">
        <v>478</v>
      </c>
      <c r="B192" s="68" t="s">
        <v>185</v>
      </c>
      <c r="C192" s="72">
        <v>33.78</v>
      </c>
      <c r="D192"/>
    </row>
    <row r="193" spans="1:4" s="98" customFormat="1" x14ac:dyDescent="0.25">
      <c r="A193" s="65" t="s">
        <v>479</v>
      </c>
      <c r="B193" s="68" t="s">
        <v>185</v>
      </c>
      <c r="C193" s="72">
        <v>63.02</v>
      </c>
      <c r="D193"/>
    </row>
    <row r="194" spans="1:4" s="98" customFormat="1" x14ac:dyDescent="0.25">
      <c r="A194" s="65" t="s">
        <v>480</v>
      </c>
      <c r="B194" s="68" t="s">
        <v>185</v>
      </c>
      <c r="C194" s="72">
        <v>9.2100000000000009</v>
      </c>
      <c r="D194"/>
    </row>
    <row r="195" spans="1:4" s="98" customFormat="1" x14ac:dyDescent="0.25">
      <c r="A195" s="65" t="s">
        <v>481</v>
      </c>
      <c r="B195" s="68" t="s">
        <v>185</v>
      </c>
      <c r="C195" s="72">
        <v>13.72</v>
      </c>
      <c r="D195"/>
    </row>
    <row r="196" spans="1:4" s="98" customFormat="1" x14ac:dyDescent="0.25">
      <c r="A196" s="65" t="s">
        <v>482</v>
      </c>
      <c r="B196" s="68" t="s">
        <v>185</v>
      </c>
      <c r="C196" s="72">
        <v>21.46</v>
      </c>
      <c r="D196"/>
    </row>
    <row r="197" spans="1:4" s="98" customFormat="1" x14ac:dyDescent="0.25">
      <c r="A197" s="65" t="s">
        <v>483</v>
      </c>
      <c r="B197" s="68" t="s">
        <v>185</v>
      </c>
      <c r="C197" s="72">
        <v>354.62</v>
      </c>
      <c r="D197"/>
    </row>
    <row r="198" spans="1:4" s="98" customFormat="1" ht="12.75" x14ac:dyDescent="0.2">
      <c r="A198" s="100" t="s">
        <v>792</v>
      </c>
      <c r="B198" s="101" t="s">
        <v>14</v>
      </c>
      <c r="C198" s="99">
        <v>53.4</v>
      </c>
    </row>
    <row r="199" spans="1:4" s="98" customFormat="1" ht="25.5" x14ac:dyDescent="0.25">
      <c r="A199" s="65" t="s">
        <v>484</v>
      </c>
      <c r="B199" s="68" t="s">
        <v>14</v>
      </c>
      <c r="C199" s="72">
        <v>71.53</v>
      </c>
      <c r="D199"/>
    </row>
    <row r="200" spans="1:4" s="98" customFormat="1" x14ac:dyDescent="0.25">
      <c r="A200" s="65" t="s">
        <v>485</v>
      </c>
      <c r="B200" s="68" t="s">
        <v>14</v>
      </c>
      <c r="C200" s="72">
        <v>143.05000000000001</v>
      </c>
      <c r="D200"/>
    </row>
    <row r="201" spans="1:4" s="98" customFormat="1" x14ac:dyDescent="0.25">
      <c r="A201" s="65" t="s">
        <v>486</v>
      </c>
      <c r="B201" s="68" t="s">
        <v>14</v>
      </c>
      <c r="C201" s="72">
        <v>143.05000000000001</v>
      </c>
      <c r="D201"/>
    </row>
    <row r="202" spans="1:4" x14ac:dyDescent="0.25">
      <c r="A202" s="65" t="s">
        <v>487</v>
      </c>
      <c r="B202" s="68" t="s">
        <v>14</v>
      </c>
      <c r="C202" s="72">
        <v>274.2</v>
      </c>
    </row>
    <row r="203" spans="1:4" x14ac:dyDescent="0.25">
      <c r="A203" s="100" t="s">
        <v>847</v>
      </c>
      <c r="B203" s="101" t="s">
        <v>14</v>
      </c>
      <c r="C203" s="99">
        <v>28.26</v>
      </c>
      <c r="D203" s="98"/>
    </row>
    <row r="204" spans="1:4" x14ac:dyDescent="0.25">
      <c r="A204" s="65" t="s">
        <v>488</v>
      </c>
      <c r="B204" s="68" t="s">
        <v>14</v>
      </c>
      <c r="C204" s="72">
        <v>2841.2</v>
      </c>
    </row>
    <row r="205" spans="1:4" ht="25.5" x14ac:dyDescent="0.25">
      <c r="A205" s="65" t="s">
        <v>489</v>
      </c>
      <c r="B205" s="68" t="s">
        <v>14</v>
      </c>
      <c r="C205" s="72">
        <v>5070.3</v>
      </c>
    </row>
    <row r="206" spans="1:4" x14ac:dyDescent="0.25">
      <c r="A206" s="65" t="s">
        <v>490</v>
      </c>
      <c r="B206" s="68" t="s">
        <v>14</v>
      </c>
      <c r="C206" s="72">
        <v>4788.71</v>
      </c>
    </row>
    <row r="207" spans="1:4" ht="25.5" x14ac:dyDescent="0.25">
      <c r="A207" s="65" t="s">
        <v>491</v>
      </c>
      <c r="B207" s="68" t="s">
        <v>14</v>
      </c>
      <c r="C207" s="72">
        <v>6472.25</v>
      </c>
    </row>
    <row r="208" spans="1:4" x14ac:dyDescent="0.25">
      <c r="A208" s="65" t="s">
        <v>492</v>
      </c>
      <c r="B208" s="68" t="s">
        <v>14</v>
      </c>
      <c r="C208" s="72">
        <v>8199.85</v>
      </c>
    </row>
    <row r="209" spans="1:4" ht="25.5" x14ac:dyDescent="0.25">
      <c r="A209" s="65" t="s">
        <v>493</v>
      </c>
      <c r="B209" s="68" t="s">
        <v>14</v>
      </c>
      <c r="C209" s="72">
        <v>8716.9699999999993</v>
      </c>
    </row>
    <row r="210" spans="1:4" x14ac:dyDescent="0.25">
      <c r="A210" s="65" t="s">
        <v>494</v>
      </c>
      <c r="B210" s="68" t="s">
        <v>14</v>
      </c>
      <c r="C210" s="72">
        <v>3858.16</v>
      </c>
    </row>
    <row r="211" spans="1:4" ht="25.5" x14ac:dyDescent="0.25">
      <c r="A211" s="65" t="s">
        <v>495</v>
      </c>
      <c r="B211" s="68" t="s">
        <v>14</v>
      </c>
      <c r="C211" s="72">
        <v>17640.14</v>
      </c>
    </row>
    <row r="212" spans="1:4" ht="25.5" x14ac:dyDescent="0.25">
      <c r="A212" s="65" t="s">
        <v>496</v>
      </c>
      <c r="B212" s="68" t="s">
        <v>14</v>
      </c>
      <c r="C212" s="72">
        <v>3741.1</v>
      </c>
    </row>
    <row r="213" spans="1:4" ht="25.5" x14ac:dyDescent="0.25">
      <c r="A213" s="65" t="s">
        <v>497</v>
      </c>
      <c r="B213" s="68" t="s">
        <v>14</v>
      </c>
      <c r="C213" s="72">
        <v>6511.92</v>
      </c>
    </row>
    <row r="214" spans="1:4" ht="25.5" x14ac:dyDescent="0.25">
      <c r="A214" s="65" t="s">
        <v>498</v>
      </c>
      <c r="B214" s="68" t="s">
        <v>14</v>
      </c>
      <c r="C214" s="72">
        <v>3628.95</v>
      </c>
    </row>
    <row r="215" spans="1:4" s="98" customFormat="1" ht="25.5" x14ac:dyDescent="0.25">
      <c r="A215" s="65" t="s">
        <v>499</v>
      </c>
      <c r="B215" s="68" t="s">
        <v>14</v>
      </c>
      <c r="C215" s="72">
        <v>2773.9</v>
      </c>
      <c r="D215"/>
    </row>
    <row r="216" spans="1:4" s="98" customFormat="1" ht="25.5" x14ac:dyDescent="0.25">
      <c r="A216" s="65" t="s">
        <v>500</v>
      </c>
      <c r="B216" s="68" t="s">
        <v>14</v>
      </c>
      <c r="C216" s="72">
        <v>3121.96</v>
      </c>
      <c r="D216"/>
    </row>
    <row r="217" spans="1:4" s="98" customFormat="1" x14ac:dyDescent="0.25">
      <c r="A217" s="65" t="s">
        <v>501</v>
      </c>
      <c r="B217" s="68" t="s">
        <v>14</v>
      </c>
      <c r="C217" s="72">
        <v>2100</v>
      </c>
      <c r="D217"/>
    </row>
    <row r="218" spans="1:4" s="98" customFormat="1" x14ac:dyDescent="0.25">
      <c r="A218" s="65" t="s">
        <v>502</v>
      </c>
      <c r="B218" s="68" t="s">
        <v>14</v>
      </c>
      <c r="C218" s="72">
        <v>26.25</v>
      </c>
      <c r="D218"/>
    </row>
    <row r="219" spans="1:4" s="98" customFormat="1" x14ac:dyDescent="0.25">
      <c r="A219" s="65" t="s">
        <v>503</v>
      </c>
      <c r="B219" s="68" t="s">
        <v>14</v>
      </c>
      <c r="C219" s="72">
        <v>95.25</v>
      </c>
      <c r="D219"/>
    </row>
    <row r="220" spans="1:4" s="98" customFormat="1" ht="12.75" x14ac:dyDescent="0.2">
      <c r="A220" s="100" t="s">
        <v>840</v>
      </c>
      <c r="B220" s="101" t="s">
        <v>14</v>
      </c>
      <c r="C220" s="99">
        <v>34.61</v>
      </c>
    </row>
    <row r="221" spans="1:4" s="98" customFormat="1" ht="12.75" x14ac:dyDescent="0.2">
      <c r="A221" s="100" t="s">
        <v>836</v>
      </c>
      <c r="B221" s="101" t="s">
        <v>14</v>
      </c>
      <c r="C221" s="99">
        <v>38.85</v>
      </c>
    </row>
    <row r="222" spans="1:4" s="98" customFormat="1" ht="12.75" x14ac:dyDescent="0.2">
      <c r="A222" s="100" t="s">
        <v>825</v>
      </c>
      <c r="B222" s="101" t="s">
        <v>14</v>
      </c>
      <c r="C222" s="99">
        <v>10.75</v>
      </c>
    </row>
    <row r="223" spans="1:4" s="98" customFormat="1" x14ac:dyDescent="0.25">
      <c r="A223" s="65" t="s">
        <v>504</v>
      </c>
      <c r="B223" s="68" t="s">
        <v>14</v>
      </c>
      <c r="C223" s="72">
        <v>21.95</v>
      </c>
      <c r="D223"/>
    </row>
    <row r="224" spans="1:4" s="98" customFormat="1" ht="12.75" x14ac:dyDescent="0.2">
      <c r="A224" s="100" t="s">
        <v>826</v>
      </c>
      <c r="B224" s="101" t="s">
        <v>14</v>
      </c>
      <c r="C224" s="99">
        <v>27.3</v>
      </c>
    </row>
    <row r="225" spans="1:4" s="98" customFormat="1" x14ac:dyDescent="0.25">
      <c r="A225" s="65" t="s">
        <v>505</v>
      </c>
      <c r="B225" s="68" t="s">
        <v>14</v>
      </c>
      <c r="C225" s="72">
        <v>31.35</v>
      </c>
      <c r="D225"/>
    </row>
    <row r="226" spans="1:4" s="98" customFormat="1" x14ac:dyDescent="0.25">
      <c r="A226" s="65" t="s">
        <v>506</v>
      </c>
      <c r="B226" s="68" t="s">
        <v>14</v>
      </c>
      <c r="C226" s="72">
        <v>44.78</v>
      </c>
      <c r="D226"/>
    </row>
    <row r="227" spans="1:4" s="98" customFormat="1" x14ac:dyDescent="0.25">
      <c r="A227" s="65" t="s">
        <v>507</v>
      </c>
      <c r="B227" s="68" t="s">
        <v>14</v>
      </c>
      <c r="C227" s="72">
        <v>33</v>
      </c>
      <c r="D227"/>
    </row>
    <row r="228" spans="1:4" s="98" customFormat="1" ht="12.75" x14ac:dyDescent="0.2">
      <c r="A228" s="100" t="s">
        <v>841</v>
      </c>
      <c r="B228" s="101" t="s">
        <v>14</v>
      </c>
      <c r="C228" s="99">
        <v>90.59</v>
      </c>
    </row>
    <row r="229" spans="1:4" s="98" customFormat="1" ht="25.5" x14ac:dyDescent="0.2">
      <c r="A229" s="100" t="s">
        <v>846</v>
      </c>
      <c r="B229" s="101" t="s">
        <v>14</v>
      </c>
      <c r="C229" s="99">
        <v>26.57</v>
      </c>
    </row>
    <row r="230" spans="1:4" s="98" customFormat="1" ht="12.75" x14ac:dyDescent="0.2">
      <c r="A230" s="100" t="s">
        <v>814</v>
      </c>
      <c r="B230" s="101" t="s">
        <v>14</v>
      </c>
      <c r="C230" s="99">
        <v>240</v>
      </c>
    </row>
    <row r="231" spans="1:4" s="98" customFormat="1" x14ac:dyDescent="0.25">
      <c r="A231" s="65" t="s">
        <v>508</v>
      </c>
      <c r="B231" s="68" t="s">
        <v>230</v>
      </c>
      <c r="C231" s="72">
        <v>25.42</v>
      </c>
      <c r="D231"/>
    </row>
    <row r="232" spans="1:4" x14ac:dyDescent="0.25">
      <c r="A232" s="100" t="s">
        <v>839</v>
      </c>
      <c r="B232" s="101" t="s">
        <v>14</v>
      </c>
      <c r="C232" s="99">
        <v>50.79</v>
      </c>
      <c r="D232" s="98"/>
    </row>
    <row r="233" spans="1:4" x14ac:dyDescent="0.25">
      <c r="A233" s="65" t="s">
        <v>509</v>
      </c>
      <c r="B233" s="68" t="s">
        <v>14</v>
      </c>
      <c r="C233" s="72">
        <v>57</v>
      </c>
    </row>
    <row r="234" spans="1:4" x14ac:dyDescent="0.25">
      <c r="A234" s="100" t="s">
        <v>832</v>
      </c>
      <c r="B234" s="101" t="s">
        <v>14</v>
      </c>
      <c r="C234" s="99">
        <v>12.75</v>
      </c>
      <c r="D234" s="98"/>
    </row>
    <row r="235" spans="1:4" x14ac:dyDescent="0.25">
      <c r="A235" s="65" t="s">
        <v>510</v>
      </c>
      <c r="B235" s="68" t="s">
        <v>14</v>
      </c>
      <c r="C235" s="72">
        <v>27.93</v>
      </c>
    </row>
    <row r="236" spans="1:4" x14ac:dyDescent="0.25">
      <c r="A236" s="100" t="s">
        <v>833</v>
      </c>
      <c r="B236" s="101" t="s">
        <v>14</v>
      </c>
      <c r="C236" s="99">
        <v>34.18</v>
      </c>
      <c r="D236" s="98"/>
    </row>
    <row r="237" spans="1:4" x14ac:dyDescent="0.25">
      <c r="A237" s="65" t="s">
        <v>511</v>
      </c>
      <c r="B237" s="68" t="s">
        <v>14</v>
      </c>
      <c r="C237" s="72">
        <v>39.9</v>
      </c>
    </row>
    <row r="238" spans="1:4" x14ac:dyDescent="0.25">
      <c r="A238" s="100" t="s">
        <v>755</v>
      </c>
      <c r="B238" s="101" t="s">
        <v>185</v>
      </c>
      <c r="C238" s="99">
        <v>24</v>
      </c>
      <c r="D238" s="98"/>
    </row>
    <row r="239" spans="1:4" x14ac:dyDescent="0.25">
      <c r="A239" s="65" t="s">
        <v>512</v>
      </c>
      <c r="B239" s="68" t="s">
        <v>185</v>
      </c>
      <c r="C239" s="72">
        <v>21.19</v>
      </c>
    </row>
    <row r="240" spans="1:4" x14ac:dyDescent="0.25">
      <c r="A240" s="100" t="s">
        <v>770</v>
      </c>
      <c r="B240" s="101" t="s">
        <v>185</v>
      </c>
      <c r="C240" s="99">
        <v>5.9</v>
      </c>
      <c r="D240" s="98"/>
    </row>
    <row r="241" spans="1:4" x14ac:dyDescent="0.25">
      <c r="A241" s="100" t="s">
        <v>769</v>
      </c>
      <c r="B241" s="101" t="s">
        <v>185</v>
      </c>
      <c r="C241" s="99">
        <v>22.1</v>
      </c>
      <c r="D241" s="98"/>
    </row>
    <row r="242" spans="1:4" x14ac:dyDescent="0.25">
      <c r="A242" s="100" t="s">
        <v>766</v>
      </c>
      <c r="B242" s="101" t="s">
        <v>185</v>
      </c>
      <c r="C242" s="99">
        <v>3.75</v>
      </c>
      <c r="D242" s="98"/>
    </row>
    <row r="243" spans="1:4" x14ac:dyDescent="0.25">
      <c r="A243" s="100" t="s">
        <v>768</v>
      </c>
      <c r="B243" s="101" t="s">
        <v>185</v>
      </c>
      <c r="C243" s="99">
        <v>6.24</v>
      </c>
      <c r="D243" s="98"/>
    </row>
    <row r="244" spans="1:4" x14ac:dyDescent="0.25">
      <c r="A244" s="100" t="s">
        <v>767</v>
      </c>
      <c r="B244" s="101" t="s">
        <v>185</v>
      </c>
      <c r="C244" s="99">
        <v>14.13</v>
      </c>
      <c r="D244" s="98"/>
    </row>
    <row r="245" spans="1:4" x14ac:dyDescent="0.25">
      <c r="A245" s="65" t="s">
        <v>513</v>
      </c>
      <c r="B245" s="68" t="s">
        <v>185</v>
      </c>
      <c r="C245" s="72">
        <v>3.88</v>
      </c>
    </row>
    <row r="246" spans="1:4" x14ac:dyDescent="0.25">
      <c r="A246" s="65" t="s">
        <v>513</v>
      </c>
      <c r="B246" s="68" t="s">
        <v>185</v>
      </c>
      <c r="C246" s="72">
        <v>10.37</v>
      </c>
    </row>
    <row r="247" spans="1:4" x14ac:dyDescent="0.25">
      <c r="A247" s="65" t="s">
        <v>514</v>
      </c>
      <c r="B247" s="68" t="s">
        <v>185</v>
      </c>
      <c r="C247" s="72">
        <v>5.84</v>
      </c>
    </row>
    <row r="248" spans="1:4" x14ac:dyDescent="0.25">
      <c r="A248" s="65" t="s">
        <v>515</v>
      </c>
      <c r="B248" s="68" t="s">
        <v>185</v>
      </c>
      <c r="C248" s="72">
        <v>13.15</v>
      </c>
    </row>
    <row r="249" spans="1:4" x14ac:dyDescent="0.25">
      <c r="A249" s="65" t="s">
        <v>515</v>
      </c>
      <c r="B249" s="68" t="s">
        <v>185</v>
      </c>
      <c r="C249" s="72">
        <v>17</v>
      </c>
    </row>
    <row r="250" spans="1:4" x14ac:dyDescent="0.25">
      <c r="A250" s="100" t="s">
        <v>774</v>
      </c>
      <c r="B250" s="101" t="s">
        <v>185</v>
      </c>
      <c r="C250" s="99">
        <v>45</v>
      </c>
      <c r="D250" s="98"/>
    </row>
    <row r="251" spans="1:4" x14ac:dyDescent="0.25">
      <c r="A251" s="65" t="s">
        <v>516</v>
      </c>
      <c r="B251" s="68" t="s">
        <v>185</v>
      </c>
      <c r="C251" s="72">
        <v>25.42</v>
      </c>
    </row>
    <row r="252" spans="1:4" x14ac:dyDescent="0.25">
      <c r="A252" s="65" t="s">
        <v>517</v>
      </c>
      <c r="B252" s="68" t="s">
        <v>185</v>
      </c>
      <c r="C252" s="72">
        <v>25.42</v>
      </c>
    </row>
    <row r="253" spans="1:4" x14ac:dyDescent="0.25">
      <c r="A253" s="65" t="s">
        <v>518</v>
      </c>
      <c r="B253" s="68" t="s">
        <v>185</v>
      </c>
      <c r="C253" s="72">
        <v>33.9</v>
      </c>
    </row>
    <row r="254" spans="1:4" x14ac:dyDescent="0.25">
      <c r="A254" s="65" t="s">
        <v>519</v>
      </c>
      <c r="B254" s="68" t="s">
        <v>185</v>
      </c>
      <c r="C254" s="72">
        <v>25.42</v>
      </c>
    </row>
    <row r="255" spans="1:4" x14ac:dyDescent="0.25">
      <c r="A255" s="100" t="s">
        <v>773</v>
      </c>
      <c r="B255" s="101" t="s">
        <v>185</v>
      </c>
      <c r="C255" s="99">
        <v>132</v>
      </c>
      <c r="D255" s="98"/>
    </row>
    <row r="256" spans="1:4" x14ac:dyDescent="0.25">
      <c r="A256" s="100" t="s">
        <v>772</v>
      </c>
      <c r="B256" s="101" t="s">
        <v>185</v>
      </c>
      <c r="C256" s="99">
        <v>165</v>
      </c>
      <c r="D256" s="98"/>
    </row>
    <row r="257" spans="1:4" x14ac:dyDescent="0.25">
      <c r="A257" s="100" t="s">
        <v>771</v>
      </c>
      <c r="B257" s="101" t="s">
        <v>185</v>
      </c>
      <c r="C257" s="99">
        <v>198</v>
      </c>
      <c r="D257" s="98"/>
    </row>
    <row r="258" spans="1:4" x14ac:dyDescent="0.25">
      <c r="A258" s="100" t="s">
        <v>852</v>
      </c>
      <c r="B258" s="101" t="s">
        <v>14</v>
      </c>
      <c r="C258" s="99">
        <v>255.92</v>
      </c>
      <c r="D258" s="98"/>
    </row>
    <row r="259" spans="1:4" x14ac:dyDescent="0.25">
      <c r="A259" s="65" t="s">
        <v>520</v>
      </c>
      <c r="B259" s="68" t="s">
        <v>14</v>
      </c>
      <c r="C259" s="72">
        <v>354</v>
      </c>
    </row>
    <row r="260" spans="1:4" x14ac:dyDescent="0.25">
      <c r="A260" s="65" t="s">
        <v>521</v>
      </c>
      <c r="B260" s="68" t="s">
        <v>14</v>
      </c>
      <c r="C260" s="72">
        <v>1.05</v>
      </c>
    </row>
    <row r="261" spans="1:4" x14ac:dyDescent="0.25">
      <c r="A261" s="100" t="s">
        <v>791</v>
      </c>
      <c r="B261" s="101" t="s">
        <v>14</v>
      </c>
      <c r="C261" s="99">
        <v>65000</v>
      </c>
      <c r="D261" s="98"/>
    </row>
    <row r="262" spans="1:4" x14ac:dyDescent="0.25">
      <c r="A262" s="65" t="s">
        <v>522</v>
      </c>
      <c r="B262" s="68" t="s">
        <v>14</v>
      </c>
      <c r="C262" s="72">
        <v>1169.49</v>
      </c>
    </row>
    <row r="263" spans="1:4" x14ac:dyDescent="0.25">
      <c r="A263" s="65" t="s">
        <v>523</v>
      </c>
      <c r="B263" s="68" t="s">
        <v>14</v>
      </c>
      <c r="C263" s="72">
        <v>751.69</v>
      </c>
    </row>
    <row r="264" spans="1:4" x14ac:dyDescent="0.25">
      <c r="A264" s="100" t="s">
        <v>813</v>
      </c>
      <c r="B264" s="101" t="s">
        <v>14</v>
      </c>
      <c r="C264" s="99">
        <v>65</v>
      </c>
      <c r="D264" s="98"/>
    </row>
    <row r="265" spans="1:4" x14ac:dyDescent="0.25">
      <c r="A265" s="100" t="s">
        <v>775</v>
      </c>
      <c r="B265" s="101" t="s">
        <v>14</v>
      </c>
      <c r="C265" s="99">
        <v>1620</v>
      </c>
      <c r="D265" s="98"/>
    </row>
    <row r="266" spans="1:4" x14ac:dyDescent="0.25">
      <c r="A266" s="100" t="s">
        <v>789</v>
      </c>
      <c r="B266" s="101" t="s">
        <v>14</v>
      </c>
      <c r="C266" s="99">
        <v>14400</v>
      </c>
      <c r="D266" s="98"/>
    </row>
    <row r="267" spans="1:4" ht="38.25" x14ac:dyDescent="0.25">
      <c r="A267" s="65" t="s">
        <v>524</v>
      </c>
      <c r="B267" s="68" t="s">
        <v>14</v>
      </c>
      <c r="C267" s="72">
        <v>3305.08</v>
      </c>
    </row>
    <row r="268" spans="1:4" x14ac:dyDescent="0.25">
      <c r="A268" s="100" t="s">
        <v>781</v>
      </c>
      <c r="B268" s="101" t="s">
        <v>14</v>
      </c>
      <c r="C268" s="99">
        <v>5845</v>
      </c>
      <c r="D268" s="98"/>
    </row>
    <row r="269" spans="1:4" ht="25.5" x14ac:dyDescent="0.25">
      <c r="A269" s="65" t="s">
        <v>525</v>
      </c>
      <c r="B269" s="68" t="s">
        <v>14</v>
      </c>
      <c r="C269" s="72">
        <v>4703.3900000000003</v>
      </c>
    </row>
    <row r="270" spans="1:4" x14ac:dyDescent="0.25">
      <c r="A270" s="100" t="s">
        <v>779</v>
      </c>
      <c r="B270" s="101" t="s">
        <v>14</v>
      </c>
      <c r="C270" s="99">
        <v>4230</v>
      </c>
      <c r="D270" s="98"/>
    </row>
    <row r="271" spans="1:4" x14ac:dyDescent="0.25">
      <c r="A271" s="100" t="s">
        <v>776</v>
      </c>
      <c r="B271" s="101" t="s">
        <v>14</v>
      </c>
      <c r="C271" s="99">
        <v>1890</v>
      </c>
      <c r="D271" s="98"/>
    </row>
    <row r="272" spans="1:4" ht="25.5" x14ac:dyDescent="0.25">
      <c r="A272" s="65" t="s">
        <v>526</v>
      </c>
      <c r="B272" s="68" t="s">
        <v>14</v>
      </c>
      <c r="C272" s="72">
        <v>2627.12</v>
      </c>
    </row>
    <row r="273" spans="1:4" x14ac:dyDescent="0.25">
      <c r="A273" s="100" t="s">
        <v>783</v>
      </c>
      <c r="B273" s="101" t="s">
        <v>14</v>
      </c>
      <c r="C273" s="99">
        <v>7500</v>
      </c>
      <c r="D273" s="98"/>
    </row>
    <row r="274" spans="1:4" ht="25.5" x14ac:dyDescent="0.25">
      <c r="A274" s="65" t="s">
        <v>527</v>
      </c>
      <c r="B274" s="68" t="s">
        <v>14</v>
      </c>
      <c r="C274" s="72">
        <v>4131.3599999999997</v>
      </c>
    </row>
    <row r="275" spans="1:4" x14ac:dyDescent="0.25">
      <c r="A275" s="100" t="s">
        <v>782</v>
      </c>
      <c r="B275" s="101" t="s">
        <v>14</v>
      </c>
      <c r="C275" s="99">
        <v>5910</v>
      </c>
      <c r="D275" s="98"/>
    </row>
    <row r="276" spans="1:4" ht="38.25" x14ac:dyDescent="0.25">
      <c r="A276" s="65" t="s">
        <v>528</v>
      </c>
      <c r="B276" s="68" t="s">
        <v>14</v>
      </c>
      <c r="C276" s="72">
        <v>7131.36</v>
      </c>
    </row>
    <row r="277" spans="1:4" x14ac:dyDescent="0.25">
      <c r="A277" s="100" t="s">
        <v>785</v>
      </c>
      <c r="B277" s="101" t="s">
        <v>14</v>
      </c>
      <c r="C277" s="99">
        <v>8831</v>
      </c>
      <c r="D277" s="98"/>
    </row>
    <row r="278" spans="1:4" ht="25.5" x14ac:dyDescent="0.25">
      <c r="A278" s="65" t="s">
        <v>529</v>
      </c>
      <c r="B278" s="68" t="s">
        <v>14</v>
      </c>
      <c r="C278" s="72">
        <v>7881.36</v>
      </c>
    </row>
    <row r="279" spans="1:4" x14ac:dyDescent="0.25">
      <c r="A279" s="100" t="s">
        <v>778</v>
      </c>
      <c r="B279" s="101" t="s">
        <v>14</v>
      </c>
      <c r="C279" s="99">
        <v>2280</v>
      </c>
      <c r="D279" s="98"/>
    </row>
    <row r="280" spans="1:4" ht="25.5" x14ac:dyDescent="0.25">
      <c r="A280" s="65" t="s">
        <v>530</v>
      </c>
      <c r="B280" s="68" t="s">
        <v>14</v>
      </c>
      <c r="C280" s="72">
        <v>2350</v>
      </c>
    </row>
    <row r="281" spans="1:4" x14ac:dyDescent="0.25">
      <c r="A281" s="100" t="s">
        <v>786</v>
      </c>
      <c r="B281" s="101" t="s">
        <v>14</v>
      </c>
      <c r="C281" s="99">
        <v>8950</v>
      </c>
      <c r="D281" s="98"/>
    </row>
    <row r="282" spans="1:4" ht="25.5" x14ac:dyDescent="0.25">
      <c r="A282" s="65" t="s">
        <v>531</v>
      </c>
      <c r="B282" s="68" t="s">
        <v>14</v>
      </c>
      <c r="C282" s="72">
        <v>6483.05</v>
      </c>
    </row>
    <row r="283" spans="1:4" x14ac:dyDescent="0.25">
      <c r="A283" s="100" t="s">
        <v>780</v>
      </c>
      <c r="B283" s="101" t="s">
        <v>14</v>
      </c>
      <c r="C283" s="99">
        <v>5500</v>
      </c>
      <c r="D283" s="98"/>
    </row>
    <row r="284" spans="1:4" ht="25.5" x14ac:dyDescent="0.25">
      <c r="A284" s="65" t="s">
        <v>532</v>
      </c>
      <c r="B284" s="68" t="s">
        <v>14</v>
      </c>
      <c r="C284" s="72">
        <v>2966.1</v>
      </c>
    </row>
    <row r="285" spans="1:4" x14ac:dyDescent="0.25">
      <c r="A285" s="100" t="s">
        <v>777</v>
      </c>
      <c r="B285" s="101" t="s">
        <v>14</v>
      </c>
      <c r="C285" s="99">
        <v>950</v>
      </c>
      <c r="D285" s="98"/>
    </row>
    <row r="286" spans="1:4" ht="25.5" x14ac:dyDescent="0.25">
      <c r="A286" s="65" t="s">
        <v>533</v>
      </c>
      <c r="B286" s="68" t="s">
        <v>14</v>
      </c>
      <c r="C286" s="72">
        <v>894.07</v>
      </c>
    </row>
    <row r="287" spans="1:4" x14ac:dyDescent="0.25">
      <c r="A287" s="65" t="s">
        <v>201</v>
      </c>
      <c r="B287" s="68" t="s">
        <v>14</v>
      </c>
      <c r="C287" s="72">
        <v>2576</v>
      </c>
    </row>
    <row r="288" spans="1:4" x14ac:dyDescent="0.25">
      <c r="A288" s="65" t="s">
        <v>534</v>
      </c>
      <c r="B288" s="68" t="s">
        <v>14</v>
      </c>
      <c r="C288" s="72">
        <v>55</v>
      </c>
    </row>
    <row r="289" spans="1:3" x14ac:dyDescent="0.25">
      <c r="A289" s="65" t="s">
        <v>535</v>
      </c>
      <c r="B289" s="68" t="s">
        <v>14</v>
      </c>
      <c r="C289" s="72">
        <v>110</v>
      </c>
    </row>
    <row r="290" spans="1:3" x14ac:dyDescent="0.25">
      <c r="A290" s="65" t="s">
        <v>536</v>
      </c>
      <c r="B290" s="68" t="s">
        <v>14</v>
      </c>
      <c r="C290" s="72">
        <v>110</v>
      </c>
    </row>
    <row r="291" spans="1:3" x14ac:dyDescent="0.25">
      <c r="A291" s="65" t="s">
        <v>537</v>
      </c>
      <c r="B291" s="68" t="s">
        <v>14</v>
      </c>
      <c r="C291" s="72">
        <v>110</v>
      </c>
    </row>
    <row r="292" spans="1:3" x14ac:dyDescent="0.25">
      <c r="A292" s="65" t="s">
        <v>538</v>
      </c>
      <c r="B292" s="68" t="s">
        <v>14</v>
      </c>
      <c r="C292" s="72">
        <v>166</v>
      </c>
    </row>
    <row r="293" spans="1:3" x14ac:dyDescent="0.25">
      <c r="A293" s="65" t="s">
        <v>539</v>
      </c>
      <c r="B293" s="68" t="s">
        <v>14</v>
      </c>
      <c r="C293" s="72">
        <v>352</v>
      </c>
    </row>
    <row r="294" spans="1:3" x14ac:dyDescent="0.25">
      <c r="A294" s="65" t="s">
        <v>381</v>
      </c>
      <c r="B294" s="103" t="s">
        <v>14</v>
      </c>
      <c r="C294" s="73">
        <v>45.7</v>
      </c>
    </row>
    <row r="295" spans="1:3" x14ac:dyDescent="0.25">
      <c r="A295" s="65" t="s">
        <v>200</v>
      </c>
      <c r="B295" s="68" t="s">
        <v>14</v>
      </c>
      <c r="C295" s="72">
        <v>19</v>
      </c>
    </row>
    <row r="296" spans="1:3" ht="25.5" x14ac:dyDescent="0.25">
      <c r="A296" s="65" t="s">
        <v>540</v>
      </c>
      <c r="B296" s="68" t="s">
        <v>14</v>
      </c>
      <c r="C296" s="72">
        <v>172</v>
      </c>
    </row>
    <row r="297" spans="1:3" x14ac:dyDescent="0.25">
      <c r="A297" s="65" t="s">
        <v>541</v>
      </c>
      <c r="B297" s="103" t="s">
        <v>14</v>
      </c>
      <c r="C297" s="73">
        <v>2161.86</v>
      </c>
    </row>
    <row r="298" spans="1:3" x14ac:dyDescent="0.25">
      <c r="A298" s="65" t="s">
        <v>198</v>
      </c>
      <c r="B298" s="68" t="s">
        <v>14</v>
      </c>
      <c r="C298" s="72">
        <v>5</v>
      </c>
    </row>
    <row r="299" spans="1:3" x14ac:dyDescent="0.25">
      <c r="A299" s="65" t="s">
        <v>369</v>
      </c>
      <c r="B299" s="103" t="s">
        <v>14</v>
      </c>
      <c r="C299" s="73">
        <v>65.3</v>
      </c>
    </row>
    <row r="300" spans="1:3" x14ac:dyDescent="0.25">
      <c r="A300" s="65" t="s">
        <v>542</v>
      </c>
      <c r="B300" s="103" t="s">
        <v>14</v>
      </c>
      <c r="C300" s="73">
        <v>44.24</v>
      </c>
    </row>
    <row r="301" spans="1:3" x14ac:dyDescent="0.25">
      <c r="A301" s="65" t="s">
        <v>543</v>
      </c>
      <c r="B301" s="103" t="s">
        <v>14</v>
      </c>
      <c r="C301" s="73">
        <v>52.2</v>
      </c>
    </row>
    <row r="302" spans="1:3" x14ac:dyDescent="0.25">
      <c r="A302" s="65" t="s">
        <v>195</v>
      </c>
      <c r="B302" s="68" t="s">
        <v>185</v>
      </c>
      <c r="C302" s="72">
        <v>7</v>
      </c>
    </row>
    <row r="303" spans="1:3" x14ac:dyDescent="0.25">
      <c r="A303" s="65" t="s">
        <v>364</v>
      </c>
      <c r="B303" s="103" t="s">
        <v>14</v>
      </c>
      <c r="C303" s="73">
        <v>15.17</v>
      </c>
    </row>
    <row r="304" spans="1:3" x14ac:dyDescent="0.25">
      <c r="A304" s="65" t="s">
        <v>544</v>
      </c>
      <c r="B304" s="103" t="s">
        <v>14</v>
      </c>
      <c r="C304" s="73">
        <v>423.73</v>
      </c>
    </row>
    <row r="305" spans="1:3" x14ac:dyDescent="0.25">
      <c r="A305" s="65" t="s">
        <v>336</v>
      </c>
      <c r="B305" s="103" t="s">
        <v>185</v>
      </c>
      <c r="C305" s="73">
        <v>36.049999999999997</v>
      </c>
    </row>
    <row r="306" spans="1:3" x14ac:dyDescent="0.25">
      <c r="A306" s="65" t="s">
        <v>337</v>
      </c>
      <c r="B306" s="103" t="s">
        <v>185</v>
      </c>
      <c r="C306" s="73">
        <v>57.14</v>
      </c>
    </row>
    <row r="307" spans="1:3" x14ac:dyDescent="0.25">
      <c r="A307" s="65" t="s">
        <v>335</v>
      </c>
      <c r="B307" s="103" t="s">
        <v>185</v>
      </c>
      <c r="C307" s="73">
        <v>42.43</v>
      </c>
    </row>
    <row r="308" spans="1:3" x14ac:dyDescent="0.25">
      <c r="A308" s="65" t="s">
        <v>339</v>
      </c>
      <c r="B308" s="103" t="s">
        <v>185</v>
      </c>
      <c r="C308" s="73">
        <v>218.59</v>
      </c>
    </row>
    <row r="309" spans="1:3" x14ac:dyDescent="0.25">
      <c r="A309" s="65" t="s">
        <v>338</v>
      </c>
      <c r="B309" s="103" t="s">
        <v>185</v>
      </c>
      <c r="C309" s="73">
        <v>408.36</v>
      </c>
    </row>
    <row r="310" spans="1:3" x14ac:dyDescent="0.25">
      <c r="A310" s="65" t="s">
        <v>545</v>
      </c>
      <c r="B310" s="103" t="s">
        <v>185</v>
      </c>
      <c r="C310" s="73">
        <v>53.38</v>
      </c>
    </row>
    <row r="311" spans="1:3" x14ac:dyDescent="0.25">
      <c r="A311" s="65" t="s">
        <v>546</v>
      </c>
      <c r="B311" s="103" t="s">
        <v>185</v>
      </c>
      <c r="C311" s="73">
        <v>64.73</v>
      </c>
    </row>
    <row r="312" spans="1:3" x14ac:dyDescent="0.25">
      <c r="A312" s="65" t="s">
        <v>547</v>
      </c>
      <c r="B312" s="103" t="s">
        <v>185</v>
      </c>
      <c r="C312" s="73">
        <v>89.27</v>
      </c>
    </row>
    <row r="313" spans="1:3" x14ac:dyDescent="0.25">
      <c r="A313" s="65" t="s">
        <v>548</v>
      </c>
      <c r="B313" s="103" t="s">
        <v>185</v>
      </c>
      <c r="C313" s="73">
        <v>10.41</v>
      </c>
    </row>
    <row r="314" spans="1:3" x14ac:dyDescent="0.25">
      <c r="A314" s="65" t="s">
        <v>549</v>
      </c>
      <c r="B314" s="103" t="s">
        <v>185</v>
      </c>
      <c r="C314" s="73">
        <v>16.86</v>
      </c>
    </row>
    <row r="315" spans="1:3" x14ac:dyDescent="0.25">
      <c r="A315" s="65" t="s">
        <v>550</v>
      </c>
      <c r="B315" s="103" t="s">
        <v>185</v>
      </c>
      <c r="C315" s="73">
        <v>164.47</v>
      </c>
    </row>
    <row r="316" spans="1:3" x14ac:dyDescent="0.25">
      <c r="A316" s="65" t="s">
        <v>551</v>
      </c>
      <c r="B316" s="103" t="s">
        <v>185</v>
      </c>
      <c r="C316" s="73">
        <v>2657.53</v>
      </c>
    </row>
    <row r="317" spans="1:3" x14ac:dyDescent="0.25">
      <c r="A317" s="65" t="s">
        <v>552</v>
      </c>
      <c r="B317" s="103" t="s">
        <v>185</v>
      </c>
      <c r="C317" s="73">
        <v>266.44</v>
      </c>
    </row>
    <row r="318" spans="1:3" x14ac:dyDescent="0.25">
      <c r="A318" s="65" t="s">
        <v>553</v>
      </c>
      <c r="B318" s="103" t="s">
        <v>185</v>
      </c>
      <c r="C318" s="73">
        <v>48.26</v>
      </c>
    </row>
    <row r="319" spans="1:3" x14ac:dyDescent="0.25">
      <c r="A319" s="65" t="s">
        <v>554</v>
      </c>
      <c r="B319" s="103" t="s">
        <v>185</v>
      </c>
      <c r="C319" s="73">
        <v>398.54</v>
      </c>
    </row>
    <row r="320" spans="1:3" x14ac:dyDescent="0.25">
      <c r="A320" s="65" t="s">
        <v>555</v>
      </c>
      <c r="B320" s="103" t="s">
        <v>185</v>
      </c>
      <c r="C320" s="73">
        <v>575.75</v>
      </c>
    </row>
    <row r="321" spans="1:3" x14ac:dyDescent="0.25">
      <c r="A321" s="65" t="s">
        <v>556</v>
      </c>
      <c r="B321" s="103" t="s">
        <v>185</v>
      </c>
      <c r="C321" s="73">
        <v>72.099999999999994</v>
      </c>
    </row>
    <row r="322" spans="1:3" x14ac:dyDescent="0.25">
      <c r="A322" s="65" t="s">
        <v>557</v>
      </c>
      <c r="B322" s="103" t="s">
        <v>185</v>
      </c>
      <c r="C322" s="73">
        <v>763.13</v>
      </c>
    </row>
    <row r="323" spans="1:3" x14ac:dyDescent="0.25">
      <c r="A323" s="65" t="s">
        <v>558</v>
      </c>
      <c r="B323" s="103" t="s">
        <v>185</v>
      </c>
      <c r="C323" s="73">
        <v>106.92</v>
      </c>
    </row>
    <row r="324" spans="1:3" x14ac:dyDescent="0.25">
      <c r="A324" s="65" t="s">
        <v>559</v>
      </c>
      <c r="B324" s="103" t="s">
        <v>185</v>
      </c>
      <c r="C324" s="73">
        <v>1093.24</v>
      </c>
    </row>
    <row r="325" spans="1:3" x14ac:dyDescent="0.25">
      <c r="A325" s="65" t="s">
        <v>560</v>
      </c>
      <c r="B325" s="103" t="s">
        <v>185</v>
      </c>
      <c r="C325" s="73">
        <v>32.119999999999997</v>
      </c>
    </row>
    <row r="326" spans="1:3" x14ac:dyDescent="0.25">
      <c r="A326" s="65" t="s">
        <v>561</v>
      </c>
      <c r="B326" s="103" t="s">
        <v>185</v>
      </c>
      <c r="C326" s="73">
        <v>23.75</v>
      </c>
    </row>
    <row r="327" spans="1:3" x14ac:dyDescent="0.25">
      <c r="A327" s="65" t="s">
        <v>562</v>
      </c>
      <c r="B327" s="103" t="s">
        <v>185</v>
      </c>
      <c r="C327" s="73">
        <v>21.35</v>
      </c>
    </row>
    <row r="328" spans="1:3" x14ac:dyDescent="0.25">
      <c r="A328" s="65" t="s">
        <v>563</v>
      </c>
      <c r="B328" s="103" t="s">
        <v>185</v>
      </c>
      <c r="C328" s="73">
        <v>33.630000000000003</v>
      </c>
    </row>
    <row r="329" spans="1:3" x14ac:dyDescent="0.25">
      <c r="A329" s="65" t="s">
        <v>564</v>
      </c>
      <c r="B329" s="103" t="s">
        <v>185</v>
      </c>
      <c r="C329" s="73">
        <v>45.25</v>
      </c>
    </row>
    <row r="330" spans="1:3" x14ac:dyDescent="0.25">
      <c r="A330" s="65" t="s">
        <v>565</v>
      </c>
      <c r="B330" s="103" t="s">
        <v>185</v>
      </c>
      <c r="C330" s="73">
        <v>66.73</v>
      </c>
    </row>
    <row r="331" spans="1:3" x14ac:dyDescent="0.25">
      <c r="A331" s="65" t="s">
        <v>199</v>
      </c>
      <c r="B331" s="68" t="s">
        <v>185</v>
      </c>
      <c r="C331" s="72">
        <v>32</v>
      </c>
    </row>
    <row r="332" spans="1:3" x14ac:dyDescent="0.25">
      <c r="A332" s="65" t="s">
        <v>191</v>
      </c>
      <c r="B332" s="68" t="s">
        <v>185</v>
      </c>
      <c r="C332" s="72">
        <v>21</v>
      </c>
    </row>
    <row r="333" spans="1:3" x14ac:dyDescent="0.25">
      <c r="A333" s="65" t="s">
        <v>192</v>
      </c>
      <c r="B333" s="68" t="s">
        <v>185</v>
      </c>
      <c r="C333" s="72">
        <v>31</v>
      </c>
    </row>
    <row r="334" spans="1:3" x14ac:dyDescent="0.25">
      <c r="A334" s="65" t="s">
        <v>193</v>
      </c>
      <c r="B334" s="68" t="s">
        <v>185</v>
      </c>
      <c r="C334" s="72">
        <v>51</v>
      </c>
    </row>
    <row r="335" spans="1:3" x14ac:dyDescent="0.25">
      <c r="A335" s="65" t="s">
        <v>194</v>
      </c>
      <c r="B335" s="68" t="s">
        <v>185</v>
      </c>
      <c r="C335" s="72">
        <v>86</v>
      </c>
    </row>
    <row r="336" spans="1:3" x14ac:dyDescent="0.25">
      <c r="A336" s="65" t="s">
        <v>566</v>
      </c>
      <c r="B336" s="68" t="s">
        <v>185</v>
      </c>
      <c r="C336" s="72">
        <v>8</v>
      </c>
    </row>
    <row r="337" spans="1:3" x14ac:dyDescent="0.25">
      <c r="A337" s="65" t="s">
        <v>374</v>
      </c>
      <c r="B337" s="103" t="s">
        <v>185</v>
      </c>
      <c r="C337" s="73">
        <f>3805/4.8</f>
        <v>792.70833333333337</v>
      </c>
    </row>
    <row r="338" spans="1:3" x14ac:dyDescent="0.25">
      <c r="A338" s="65" t="s">
        <v>375</v>
      </c>
      <c r="B338" s="103" t="s">
        <v>185</v>
      </c>
      <c r="C338" s="73">
        <v>275</v>
      </c>
    </row>
    <row r="339" spans="1:3" ht="25.5" x14ac:dyDescent="0.25">
      <c r="A339" s="65" t="s">
        <v>213</v>
      </c>
      <c r="B339" s="68" t="s">
        <v>14</v>
      </c>
      <c r="C339" s="72">
        <v>330</v>
      </c>
    </row>
    <row r="340" spans="1:3" x14ac:dyDescent="0.25">
      <c r="A340" s="65" t="s">
        <v>567</v>
      </c>
      <c r="B340" s="68" t="s">
        <v>14</v>
      </c>
      <c r="C340" s="72">
        <v>67</v>
      </c>
    </row>
    <row r="341" spans="1:3" x14ac:dyDescent="0.25">
      <c r="A341" s="65" t="s">
        <v>568</v>
      </c>
      <c r="B341" s="103" t="s">
        <v>14</v>
      </c>
      <c r="C341" s="73">
        <v>27.2</v>
      </c>
    </row>
    <row r="342" spans="1:3" x14ac:dyDescent="0.25">
      <c r="A342" s="65" t="s">
        <v>323</v>
      </c>
      <c r="B342" s="103" t="s">
        <v>14</v>
      </c>
      <c r="C342" s="73">
        <v>262.70999999999998</v>
      </c>
    </row>
    <row r="343" spans="1:3" x14ac:dyDescent="0.25">
      <c r="A343" s="65" t="s">
        <v>313</v>
      </c>
      <c r="B343" s="103" t="s">
        <v>14</v>
      </c>
      <c r="C343" s="73">
        <v>30.51</v>
      </c>
    </row>
    <row r="344" spans="1:3" x14ac:dyDescent="0.25">
      <c r="A344" s="65" t="s">
        <v>569</v>
      </c>
      <c r="B344" s="68" t="s">
        <v>14</v>
      </c>
      <c r="C344" s="72">
        <v>896</v>
      </c>
    </row>
    <row r="345" spans="1:3" x14ac:dyDescent="0.25">
      <c r="A345" s="65" t="s">
        <v>570</v>
      </c>
      <c r="B345" s="103" t="s">
        <v>14</v>
      </c>
      <c r="C345" s="73">
        <v>295.39999999999998</v>
      </c>
    </row>
    <row r="346" spans="1:3" x14ac:dyDescent="0.25">
      <c r="A346" s="65" t="s">
        <v>571</v>
      </c>
      <c r="B346" s="68" t="s">
        <v>14</v>
      </c>
      <c r="C346" s="72">
        <v>405</v>
      </c>
    </row>
    <row r="347" spans="1:3" x14ac:dyDescent="0.25">
      <c r="A347" s="65" t="s">
        <v>190</v>
      </c>
      <c r="B347" s="68" t="s">
        <v>14</v>
      </c>
      <c r="C347" s="72">
        <v>72</v>
      </c>
    </row>
    <row r="348" spans="1:3" x14ac:dyDescent="0.25">
      <c r="A348" s="65" t="s">
        <v>331</v>
      </c>
      <c r="B348" s="103" t="s">
        <v>14</v>
      </c>
      <c r="C348" s="73">
        <v>29.41</v>
      </c>
    </row>
    <row r="349" spans="1:3" x14ac:dyDescent="0.25">
      <c r="A349" s="65" t="s">
        <v>330</v>
      </c>
      <c r="B349" s="103" t="s">
        <v>14</v>
      </c>
      <c r="C349" s="73">
        <v>7.8</v>
      </c>
    </row>
    <row r="350" spans="1:3" x14ac:dyDescent="0.25">
      <c r="A350" s="65" t="s">
        <v>332</v>
      </c>
      <c r="B350" s="103" t="s">
        <v>14</v>
      </c>
      <c r="C350" s="73">
        <v>69.239999999999995</v>
      </c>
    </row>
    <row r="351" spans="1:3" x14ac:dyDescent="0.25">
      <c r="A351" s="65" t="s">
        <v>333</v>
      </c>
      <c r="B351" s="103" t="s">
        <v>14</v>
      </c>
      <c r="C351" s="73">
        <v>125.42</v>
      </c>
    </row>
    <row r="352" spans="1:3" ht="25.5" x14ac:dyDescent="0.25">
      <c r="A352" s="65" t="s">
        <v>329</v>
      </c>
      <c r="B352" s="103" t="s">
        <v>14</v>
      </c>
      <c r="C352" s="73">
        <v>7.29</v>
      </c>
    </row>
    <row r="353" spans="1:4" ht="25.5" x14ac:dyDescent="0.25">
      <c r="A353" s="65" t="s">
        <v>572</v>
      </c>
      <c r="B353" s="68" t="s">
        <v>14</v>
      </c>
      <c r="C353" s="72">
        <v>2785</v>
      </c>
    </row>
    <row r="354" spans="1:4" x14ac:dyDescent="0.25">
      <c r="A354" s="65" t="s">
        <v>202</v>
      </c>
      <c r="B354" s="68" t="s">
        <v>14</v>
      </c>
      <c r="C354" s="72">
        <v>2043</v>
      </c>
    </row>
    <row r="355" spans="1:4" ht="25.5" x14ac:dyDescent="0.25">
      <c r="A355" s="65" t="s">
        <v>573</v>
      </c>
      <c r="B355" s="68" t="s">
        <v>14</v>
      </c>
      <c r="C355" s="72">
        <v>2268</v>
      </c>
    </row>
    <row r="356" spans="1:4" x14ac:dyDescent="0.25">
      <c r="A356" s="65" t="s">
        <v>371</v>
      </c>
      <c r="B356" s="103" t="s">
        <v>14</v>
      </c>
      <c r="C356" s="73">
        <v>89.7</v>
      </c>
    </row>
    <row r="357" spans="1:4" x14ac:dyDescent="0.25">
      <c r="A357" s="65" t="s">
        <v>196</v>
      </c>
      <c r="B357" s="68" t="s">
        <v>14</v>
      </c>
      <c r="C357" s="72">
        <v>1190</v>
      </c>
    </row>
    <row r="358" spans="1:4" x14ac:dyDescent="0.25">
      <c r="A358" s="65" t="s">
        <v>321</v>
      </c>
      <c r="B358" s="103" t="s">
        <v>14</v>
      </c>
      <c r="C358" s="73">
        <v>80.510000000000005</v>
      </c>
    </row>
    <row r="359" spans="1:4" x14ac:dyDescent="0.25">
      <c r="A359" s="65" t="s">
        <v>574</v>
      </c>
      <c r="B359" s="103" t="s">
        <v>14</v>
      </c>
      <c r="C359" s="73">
        <v>135.59</v>
      </c>
    </row>
    <row r="360" spans="1:4" x14ac:dyDescent="0.25">
      <c r="A360" s="65" t="s">
        <v>575</v>
      </c>
      <c r="B360" s="103" t="s">
        <v>14</v>
      </c>
      <c r="C360" s="73">
        <v>123.73</v>
      </c>
    </row>
    <row r="361" spans="1:4" x14ac:dyDescent="0.25">
      <c r="A361" s="65" t="s">
        <v>576</v>
      </c>
      <c r="B361" s="103" t="s">
        <v>14</v>
      </c>
      <c r="C361" s="73">
        <v>127.12</v>
      </c>
    </row>
    <row r="362" spans="1:4" x14ac:dyDescent="0.25">
      <c r="A362" s="65" t="s">
        <v>577</v>
      </c>
      <c r="B362" s="103" t="s">
        <v>14</v>
      </c>
      <c r="C362" s="73">
        <v>186.44</v>
      </c>
    </row>
    <row r="363" spans="1:4" x14ac:dyDescent="0.25">
      <c r="A363" s="65" t="s">
        <v>578</v>
      </c>
      <c r="B363" s="103" t="s">
        <v>14</v>
      </c>
      <c r="C363" s="73">
        <v>84.75</v>
      </c>
    </row>
    <row r="364" spans="1:4" x14ac:dyDescent="0.25">
      <c r="A364" s="65" t="s">
        <v>579</v>
      </c>
      <c r="B364" s="103" t="s">
        <v>14</v>
      </c>
      <c r="C364" s="73">
        <v>32.200000000000003</v>
      </c>
    </row>
    <row r="365" spans="1:4" x14ac:dyDescent="0.25">
      <c r="A365" s="65" t="s">
        <v>580</v>
      </c>
      <c r="B365" s="103" t="s">
        <v>14</v>
      </c>
      <c r="C365" s="73">
        <v>38.14</v>
      </c>
    </row>
    <row r="366" spans="1:4" s="98" customFormat="1" x14ac:dyDescent="0.25">
      <c r="A366" s="65" t="s">
        <v>203</v>
      </c>
      <c r="B366" s="68" t="s">
        <v>14</v>
      </c>
      <c r="C366" s="72">
        <v>1932</v>
      </c>
      <c r="D366"/>
    </row>
    <row r="367" spans="1:4" s="98" customFormat="1" ht="25.5" x14ac:dyDescent="0.25">
      <c r="A367" s="65" t="s">
        <v>367</v>
      </c>
      <c r="B367" s="103" t="s">
        <v>14</v>
      </c>
      <c r="C367" s="73">
        <v>379.13</v>
      </c>
      <c r="D367"/>
    </row>
    <row r="368" spans="1:4" s="98" customFormat="1" ht="25.5" x14ac:dyDescent="0.25">
      <c r="A368" s="65" t="s">
        <v>363</v>
      </c>
      <c r="B368" s="103" t="s">
        <v>14</v>
      </c>
      <c r="C368" s="73">
        <v>300.94</v>
      </c>
      <c r="D368"/>
    </row>
    <row r="369" spans="1:4" s="98" customFormat="1" x14ac:dyDescent="0.25">
      <c r="A369" s="65" t="s">
        <v>581</v>
      </c>
      <c r="B369" s="103" t="s">
        <v>185</v>
      </c>
      <c r="C369" s="73">
        <v>33.64</v>
      </c>
      <c r="D369"/>
    </row>
    <row r="370" spans="1:4" s="98" customFormat="1" x14ac:dyDescent="0.25">
      <c r="A370" s="65" t="s">
        <v>582</v>
      </c>
      <c r="B370" s="68" t="s">
        <v>185</v>
      </c>
      <c r="C370" s="72">
        <v>48</v>
      </c>
      <c r="D370"/>
    </row>
    <row r="371" spans="1:4" s="98" customFormat="1" x14ac:dyDescent="0.25">
      <c r="A371" s="65" t="s">
        <v>380</v>
      </c>
      <c r="B371" s="103" t="s">
        <v>14</v>
      </c>
      <c r="C371" s="73">
        <v>32</v>
      </c>
      <c r="D371"/>
    </row>
    <row r="372" spans="1:4" s="98" customFormat="1" x14ac:dyDescent="0.25">
      <c r="A372" s="65" t="s">
        <v>378</v>
      </c>
      <c r="B372" s="103" t="s">
        <v>14</v>
      </c>
      <c r="C372" s="73">
        <v>39.200000000000003</v>
      </c>
      <c r="D372"/>
    </row>
    <row r="373" spans="1:4" s="98" customFormat="1" x14ac:dyDescent="0.25">
      <c r="A373" s="65" t="s">
        <v>379</v>
      </c>
      <c r="B373" s="103" t="s">
        <v>14</v>
      </c>
      <c r="C373" s="73">
        <v>56.7</v>
      </c>
      <c r="D373"/>
    </row>
    <row r="374" spans="1:4" s="98" customFormat="1" x14ac:dyDescent="0.25">
      <c r="A374" s="65" t="s">
        <v>212</v>
      </c>
      <c r="B374" s="68" t="s">
        <v>14</v>
      </c>
      <c r="C374" s="72">
        <v>330</v>
      </c>
      <c r="D374"/>
    </row>
    <row r="375" spans="1:4" s="98" customFormat="1" x14ac:dyDescent="0.25">
      <c r="A375" s="65" t="s">
        <v>187</v>
      </c>
      <c r="B375" s="68" t="s">
        <v>14</v>
      </c>
      <c r="C375" s="72">
        <v>9890</v>
      </c>
      <c r="D375"/>
    </row>
    <row r="376" spans="1:4" s="98" customFormat="1" x14ac:dyDescent="0.25">
      <c r="A376" s="65" t="s">
        <v>188</v>
      </c>
      <c r="B376" s="68" t="s">
        <v>14</v>
      </c>
      <c r="C376" s="72">
        <v>86016</v>
      </c>
      <c r="D376"/>
    </row>
    <row r="377" spans="1:4" x14ac:dyDescent="0.25">
      <c r="A377" s="65" t="s">
        <v>189</v>
      </c>
      <c r="B377" s="68" t="s">
        <v>14</v>
      </c>
      <c r="C377" s="72">
        <v>84321</v>
      </c>
    </row>
    <row r="378" spans="1:4" x14ac:dyDescent="0.25">
      <c r="A378" s="65" t="s">
        <v>328</v>
      </c>
      <c r="B378" s="103" t="s">
        <v>14</v>
      </c>
      <c r="C378" s="73">
        <v>63.85</v>
      </c>
    </row>
    <row r="379" spans="1:4" x14ac:dyDescent="0.25">
      <c r="A379" s="65" t="s">
        <v>583</v>
      </c>
      <c r="B379" s="103" t="s">
        <v>14</v>
      </c>
      <c r="C379" s="73">
        <v>83.9</v>
      </c>
    </row>
    <row r="380" spans="1:4" x14ac:dyDescent="0.25">
      <c r="A380" s="65" t="s">
        <v>372</v>
      </c>
      <c r="B380" s="103" t="s">
        <v>14</v>
      </c>
      <c r="C380" s="73">
        <v>7.8</v>
      </c>
    </row>
    <row r="381" spans="1:4" x14ac:dyDescent="0.25">
      <c r="A381" s="65" t="s">
        <v>373</v>
      </c>
      <c r="B381" s="103" t="s">
        <v>14</v>
      </c>
      <c r="C381" s="73">
        <v>118.7</v>
      </c>
    </row>
    <row r="382" spans="1:4" x14ac:dyDescent="0.25">
      <c r="A382" s="65" t="s">
        <v>584</v>
      </c>
      <c r="B382" s="103" t="s">
        <v>185</v>
      </c>
      <c r="C382" s="73">
        <v>10.37</v>
      </c>
    </row>
    <row r="383" spans="1:4" x14ac:dyDescent="0.25">
      <c r="A383" s="65" t="s">
        <v>585</v>
      </c>
      <c r="B383" s="103" t="s">
        <v>185</v>
      </c>
      <c r="C383" s="73">
        <v>10.37</v>
      </c>
    </row>
    <row r="384" spans="1:4" x14ac:dyDescent="0.25">
      <c r="A384" s="65" t="s">
        <v>586</v>
      </c>
      <c r="B384" s="103" t="s">
        <v>185</v>
      </c>
      <c r="C384" s="73">
        <v>10.37</v>
      </c>
    </row>
    <row r="385" spans="1:3" x14ac:dyDescent="0.25">
      <c r="A385" s="65" t="s">
        <v>587</v>
      </c>
      <c r="B385" s="103" t="s">
        <v>185</v>
      </c>
      <c r="C385" s="73">
        <v>15.56</v>
      </c>
    </row>
    <row r="386" spans="1:3" x14ac:dyDescent="0.25">
      <c r="A386" s="65" t="s">
        <v>588</v>
      </c>
      <c r="B386" s="103" t="s">
        <v>185</v>
      </c>
      <c r="C386" s="73">
        <v>16.28</v>
      </c>
    </row>
    <row r="387" spans="1:3" x14ac:dyDescent="0.25">
      <c r="A387" s="65" t="s">
        <v>589</v>
      </c>
      <c r="B387" s="103" t="s">
        <v>185</v>
      </c>
      <c r="C387" s="73">
        <v>15.42</v>
      </c>
    </row>
    <row r="388" spans="1:3" x14ac:dyDescent="0.25">
      <c r="A388" s="65" t="s">
        <v>590</v>
      </c>
      <c r="B388" s="103" t="s">
        <v>185</v>
      </c>
      <c r="C388" s="73">
        <v>23.9</v>
      </c>
    </row>
    <row r="389" spans="1:3" x14ac:dyDescent="0.25">
      <c r="A389" s="65" t="s">
        <v>591</v>
      </c>
      <c r="B389" s="103" t="s">
        <v>185</v>
      </c>
      <c r="C389" s="73">
        <v>23.92</v>
      </c>
    </row>
    <row r="390" spans="1:3" x14ac:dyDescent="0.25">
      <c r="A390" s="65" t="s">
        <v>592</v>
      </c>
      <c r="B390" s="103" t="s">
        <v>185</v>
      </c>
      <c r="C390" s="73">
        <v>24.49</v>
      </c>
    </row>
    <row r="391" spans="1:3" x14ac:dyDescent="0.25">
      <c r="A391" s="65" t="s">
        <v>370</v>
      </c>
      <c r="B391" s="103" t="s">
        <v>14</v>
      </c>
      <c r="C391" s="73">
        <v>415</v>
      </c>
    </row>
    <row r="392" spans="1:3" x14ac:dyDescent="0.25">
      <c r="A392" s="65" t="s">
        <v>593</v>
      </c>
      <c r="B392" s="103" t="s">
        <v>14</v>
      </c>
      <c r="C392" s="73">
        <v>1269.49</v>
      </c>
    </row>
    <row r="393" spans="1:3" x14ac:dyDescent="0.25">
      <c r="A393" s="65" t="s">
        <v>594</v>
      </c>
      <c r="B393" s="103" t="s">
        <v>14</v>
      </c>
      <c r="C393" s="73">
        <v>3252.54</v>
      </c>
    </row>
    <row r="394" spans="1:3" x14ac:dyDescent="0.25">
      <c r="A394" s="65" t="s">
        <v>595</v>
      </c>
      <c r="B394" s="103" t="s">
        <v>14</v>
      </c>
      <c r="C394" s="73">
        <v>85.59</v>
      </c>
    </row>
    <row r="395" spans="1:3" x14ac:dyDescent="0.25">
      <c r="A395" s="65" t="s">
        <v>322</v>
      </c>
      <c r="B395" s="103" t="s">
        <v>14</v>
      </c>
      <c r="C395" s="73">
        <v>244.07</v>
      </c>
    </row>
    <row r="396" spans="1:3" x14ac:dyDescent="0.25">
      <c r="A396" s="65" t="s">
        <v>596</v>
      </c>
      <c r="B396" s="103" t="s">
        <v>14</v>
      </c>
      <c r="C396" s="73">
        <v>46.95</v>
      </c>
    </row>
    <row r="397" spans="1:3" x14ac:dyDescent="0.25">
      <c r="A397" s="65" t="s">
        <v>597</v>
      </c>
      <c r="B397" s="103" t="s">
        <v>14</v>
      </c>
      <c r="C397" s="73">
        <v>70.34</v>
      </c>
    </row>
    <row r="398" spans="1:3" x14ac:dyDescent="0.25">
      <c r="A398" s="65" t="s">
        <v>598</v>
      </c>
      <c r="B398" s="103" t="s">
        <v>14</v>
      </c>
      <c r="C398" s="73">
        <v>96.61</v>
      </c>
    </row>
    <row r="399" spans="1:3" x14ac:dyDescent="0.25">
      <c r="A399" s="65" t="s">
        <v>312</v>
      </c>
      <c r="B399" s="103" t="s">
        <v>14</v>
      </c>
      <c r="C399" s="73">
        <v>1333.9</v>
      </c>
    </row>
    <row r="400" spans="1:3" x14ac:dyDescent="0.25">
      <c r="A400" s="65" t="s">
        <v>311</v>
      </c>
      <c r="B400" s="103" t="s">
        <v>14</v>
      </c>
      <c r="C400" s="73">
        <v>1150.8499999999999</v>
      </c>
    </row>
    <row r="401" spans="1:4" ht="29.25" customHeight="1" x14ac:dyDescent="0.25">
      <c r="A401" s="65" t="s">
        <v>307</v>
      </c>
      <c r="B401" s="103" t="s">
        <v>14</v>
      </c>
      <c r="C401" s="73">
        <v>1066.0999999999999</v>
      </c>
    </row>
    <row r="402" spans="1:4" s="98" customFormat="1" ht="29.25" customHeight="1" x14ac:dyDescent="0.25">
      <c r="A402" s="65" t="s">
        <v>319</v>
      </c>
      <c r="B402" s="103" t="s">
        <v>14</v>
      </c>
      <c r="C402" s="73">
        <v>2826.27</v>
      </c>
      <c r="D402"/>
    </row>
    <row r="403" spans="1:4" s="98" customFormat="1" ht="29.25" customHeight="1" x14ac:dyDescent="0.25">
      <c r="A403" s="65" t="s">
        <v>599</v>
      </c>
      <c r="B403" s="103" t="s">
        <v>14</v>
      </c>
      <c r="C403" s="73">
        <v>1000</v>
      </c>
      <c r="D403"/>
    </row>
    <row r="404" spans="1:4" s="98" customFormat="1" ht="29.25" customHeight="1" x14ac:dyDescent="0.25">
      <c r="A404" s="65" t="s">
        <v>600</v>
      </c>
      <c r="B404" s="103" t="s">
        <v>14</v>
      </c>
      <c r="C404" s="73">
        <v>684.75</v>
      </c>
      <c r="D404"/>
    </row>
    <row r="405" spans="1:4" s="98" customFormat="1" ht="29.25" customHeight="1" x14ac:dyDescent="0.25">
      <c r="A405" s="65" t="s">
        <v>601</v>
      </c>
      <c r="B405" s="103" t="s">
        <v>14</v>
      </c>
      <c r="C405" s="73">
        <v>1229.6600000000001</v>
      </c>
      <c r="D405"/>
    </row>
    <row r="406" spans="1:4" s="98" customFormat="1" ht="29.25" customHeight="1" x14ac:dyDescent="0.25">
      <c r="A406" s="65" t="s">
        <v>310</v>
      </c>
      <c r="B406" s="103" t="s">
        <v>14</v>
      </c>
      <c r="C406" s="73">
        <v>2325.42</v>
      </c>
      <c r="D406"/>
    </row>
    <row r="407" spans="1:4" s="98" customFormat="1" ht="29.25" customHeight="1" x14ac:dyDescent="0.25">
      <c r="A407" s="65" t="s">
        <v>315</v>
      </c>
      <c r="B407" s="103" t="s">
        <v>14</v>
      </c>
      <c r="C407" s="73">
        <v>2040.68</v>
      </c>
      <c r="D407"/>
    </row>
    <row r="408" spans="1:4" s="98" customFormat="1" ht="29.25" customHeight="1" x14ac:dyDescent="0.25">
      <c r="A408" s="65" t="s">
        <v>318</v>
      </c>
      <c r="B408" s="103" t="s">
        <v>14</v>
      </c>
      <c r="C408" s="73">
        <v>3205.93</v>
      </c>
      <c r="D408"/>
    </row>
    <row r="409" spans="1:4" s="98" customFormat="1" ht="29.25" customHeight="1" x14ac:dyDescent="0.25">
      <c r="A409" s="65" t="s">
        <v>602</v>
      </c>
      <c r="B409" s="103" t="s">
        <v>14</v>
      </c>
      <c r="C409" s="73">
        <v>7700</v>
      </c>
      <c r="D409"/>
    </row>
    <row r="410" spans="1:4" s="98" customFormat="1" ht="29.25" customHeight="1" x14ac:dyDescent="0.25">
      <c r="A410" s="65" t="s">
        <v>603</v>
      </c>
      <c r="B410" s="103" t="s">
        <v>14</v>
      </c>
      <c r="C410" s="73">
        <v>3276.27</v>
      </c>
      <c r="D410">
        <f>358+22+86+17</f>
        <v>483</v>
      </c>
    </row>
    <row r="411" spans="1:4" s="98" customFormat="1" ht="29.25" customHeight="1" x14ac:dyDescent="0.25">
      <c r="A411" s="65" t="s">
        <v>308</v>
      </c>
      <c r="B411" s="103" t="s">
        <v>14</v>
      </c>
      <c r="C411" s="73">
        <v>1166.95</v>
      </c>
      <c r="D411"/>
    </row>
    <row r="412" spans="1:4" s="98" customFormat="1" ht="29.25" customHeight="1" x14ac:dyDescent="0.25">
      <c r="A412" s="65" t="s">
        <v>316</v>
      </c>
      <c r="B412" s="103" t="s">
        <v>14</v>
      </c>
      <c r="C412" s="73">
        <v>1338.98</v>
      </c>
      <c r="D412"/>
    </row>
    <row r="413" spans="1:4" s="98" customFormat="1" ht="29.25" customHeight="1" x14ac:dyDescent="0.25">
      <c r="A413" s="65" t="s">
        <v>309</v>
      </c>
      <c r="B413" s="103" t="s">
        <v>14</v>
      </c>
      <c r="C413" s="73">
        <v>1166.95</v>
      </c>
      <c r="D413"/>
    </row>
    <row r="414" spans="1:4" s="98" customFormat="1" ht="29.25" customHeight="1" x14ac:dyDescent="0.25">
      <c r="A414" s="65" t="s">
        <v>314</v>
      </c>
      <c r="B414" s="103" t="s">
        <v>14</v>
      </c>
      <c r="C414" s="73">
        <v>975.42</v>
      </c>
      <c r="D414"/>
    </row>
    <row r="415" spans="1:4" s="98" customFormat="1" ht="29.25" customHeight="1" x14ac:dyDescent="0.25">
      <c r="A415" s="65" t="s">
        <v>320</v>
      </c>
      <c r="B415" s="103" t="s">
        <v>14</v>
      </c>
      <c r="C415" s="73">
        <v>3250</v>
      </c>
      <c r="D415"/>
    </row>
    <row r="416" spans="1:4" s="98" customFormat="1" ht="29.25" customHeight="1" x14ac:dyDescent="0.25">
      <c r="A416" s="65" t="s">
        <v>317</v>
      </c>
      <c r="B416" s="103" t="s">
        <v>14</v>
      </c>
      <c r="C416" s="73">
        <v>359.66</v>
      </c>
      <c r="D416"/>
    </row>
    <row r="417" spans="1:4" s="98" customFormat="1" ht="29.25" customHeight="1" x14ac:dyDescent="0.25">
      <c r="A417" s="65" t="s">
        <v>604</v>
      </c>
      <c r="B417" s="68" t="s">
        <v>14</v>
      </c>
      <c r="C417" s="72">
        <v>5540</v>
      </c>
      <c r="D417"/>
    </row>
    <row r="418" spans="1:4" s="98" customFormat="1" ht="29.25" customHeight="1" x14ac:dyDescent="0.25">
      <c r="A418" s="65" t="s">
        <v>605</v>
      </c>
      <c r="B418" s="68" t="s">
        <v>14</v>
      </c>
      <c r="C418" s="72">
        <v>10609</v>
      </c>
      <c r="D418"/>
    </row>
    <row r="419" spans="1:4" s="98" customFormat="1" ht="29.25" customHeight="1" x14ac:dyDescent="0.25">
      <c r="A419" s="65" t="s">
        <v>606</v>
      </c>
      <c r="B419" s="68" t="s">
        <v>14</v>
      </c>
      <c r="C419" s="72">
        <v>5077</v>
      </c>
      <c r="D419"/>
    </row>
    <row r="420" spans="1:4" s="98" customFormat="1" ht="29.25" customHeight="1" x14ac:dyDescent="0.25">
      <c r="A420" s="65" t="s">
        <v>607</v>
      </c>
      <c r="B420" s="68" t="s">
        <v>14</v>
      </c>
      <c r="C420" s="72">
        <v>52</v>
      </c>
      <c r="D420"/>
    </row>
    <row r="421" spans="1:4" s="98" customFormat="1" ht="29.25" customHeight="1" x14ac:dyDescent="0.25">
      <c r="A421" s="65" t="s">
        <v>210</v>
      </c>
      <c r="B421" s="68" t="s">
        <v>14</v>
      </c>
      <c r="C421" s="72">
        <v>990</v>
      </c>
      <c r="D421"/>
    </row>
    <row r="422" spans="1:4" s="98" customFormat="1" ht="29.25" customHeight="1" x14ac:dyDescent="0.25">
      <c r="A422" s="65" t="s">
        <v>368</v>
      </c>
      <c r="B422" s="103" t="s">
        <v>14</v>
      </c>
      <c r="C422" s="73">
        <v>19.8</v>
      </c>
      <c r="D422"/>
    </row>
    <row r="423" spans="1:4" s="98" customFormat="1" ht="29.25" customHeight="1" x14ac:dyDescent="0.25">
      <c r="A423" s="65" t="s">
        <v>365</v>
      </c>
      <c r="B423" s="103" t="s">
        <v>14</v>
      </c>
      <c r="C423" s="73">
        <v>13.21</v>
      </c>
      <c r="D423"/>
    </row>
    <row r="424" spans="1:4" s="98" customFormat="1" ht="29.25" customHeight="1" x14ac:dyDescent="0.25">
      <c r="A424" s="65" t="s">
        <v>326</v>
      </c>
      <c r="B424" s="103" t="s">
        <v>14</v>
      </c>
      <c r="C424" s="73">
        <v>38.4</v>
      </c>
      <c r="D424"/>
    </row>
    <row r="425" spans="1:4" s="98" customFormat="1" ht="29.25" customHeight="1" x14ac:dyDescent="0.25">
      <c r="A425" s="65" t="s">
        <v>366</v>
      </c>
      <c r="B425" s="103" t="s">
        <v>14</v>
      </c>
      <c r="C425" s="73">
        <v>25.3</v>
      </c>
      <c r="D425"/>
    </row>
    <row r="426" spans="1:4" s="98" customFormat="1" ht="29.25" customHeight="1" x14ac:dyDescent="0.25">
      <c r="A426" s="65" t="s">
        <v>366</v>
      </c>
      <c r="B426" s="103" t="s">
        <v>14</v>
      </c>
      <c r="C426" s="73">
        <v>34.799999999999997</v>
      </c>
      <c r="D426"/>
    </row>
    <row r="427" spans="1:4" s="98" customFormat="1" ht="29.25" customHeight="1" x14ac:dyDescent="0.2">
      <c r="A427" s="100" t="s">
        <v>811</v>
      </c>
      <c r="B427" s="101" t="s">
        <v>230</v>
      </c>
      <c r="C427" s="99">
        <v>45</v>
      </c>
    </row>
    <row r="428" spans="1:4" s="98" customFormat="1" ht="29.25" customHeight="1" x14ac:dyDescent="0.25">
      <c r="A428" s="65" t="s">
        <v>608</v>
      </c>
      <c r="B428" s="103" t="s">
        <v>14</v>
      </c>
      <c r="C428" s="73">
        <v>16.100000000000001</v>
      </c>
      <c r="D428"/>
    </row>
    <row r="429" spans="1:4" s="98" customFormat="1" ht="29.25" customHeight="1" x14ac:dyDescent="0.25">
      <c r="A429" s="65" t="s">
        <v>609</v>
      </c>
      <c r="B429" s="68" t="s">
        <v>14</v>
      </c>
      <c r="C429" s="72">
        <v>198</v>
      </c>
      <c r="D429"/>
    </row>
    <row r="430" spans="1:4" s="98" customFormat="1" ht="29.25" customHeight="1" x14ac:dyDescent="0.25">
      <c r="A430" s="65" t="s">
        <v>325</v>
      </c>
      <c r="B430" s="103" t="s">
        <v>14</v>
      </c>
      <c r="C430" s="73">
        <v>3270.3</v>
      </c>
      <c r="D430"/>
    </row>
    <row r="431" spans="1:4" s="98" customFormat="1" ht="29.25" customHeight="1" x14ac:dyDescent="0.25">
      <c r="A431" s="65" t="s">
        <v>610</v>
      </c>
      <c r="B431" s="103" t="s">
        <v>14</v>
      </c>
      <c r="C431" s="73">
        <v>93.22</v>
      </c>
      <c r="D431"/>
    </row>
    <row r="432" spans="1:4" s="98" customFormat="1" ht="29.25" customHeight="1" x14ac:dyDescent="0.25">
      <c r="A432" s="65" t="s">
        <v>211</v>
      </c>
      <c r="B432" s="68" t="s">
        <v>14</v>
      </c>
      <c r="C432" s="72">
        <v>1650</v>
      </c>
      <c r="D432"/>
    </row>
    <row r="433" spans="1:8" s="98" customFormat="1" ht="29.25" customHeight="1" x14ac:dyDescent="0.25">
      <c r="A433" s="65" t="s">
        <v>197</v>
      </c>
      <c r="B433" s="68" t="s">
        <v>185</v>
      </c>
      <c r="C433" s="72">
        <v>15</v>
      </c>
      <c r="D433"/>
    </row>
    <row r="434" spans="1:8" s="98" customFormat="1" ht="29.25" customHeight="1" x14ac:dyDescent="0.25">
      <c r="A434" s="65" t="s">
        <v>324</v>
      </c>
      <c r="B434" s="103" t="s">
        <v>185</v>
      </c>
      <c r="C434" s="73">
        <v>7.63</v>
      </c>
      <c r="D434"/>
    </row>
    <row r="435" spans="1:8" s="98" customFormat="1" ht="29.25" customHeight="1" x14ac:dyDescent="0.25">
      <c r="A435" s="65" t="s">
        <v>334</v>
      </c>
      <c r="B435" s="103" t="s">
        <v>185</v>
      </c>
      <c r="C435" s="73">
        <v>12.2</v>
      </c>
      <c r="D435"/>
    </row>
    <row r="436" spans="1:8" s="98" customFormat="1" ht="29.25" customHeight="1" x14ac:dyDescent="0.25">
      <c r="A436" s="65" t="s">
        <v>611</v>
      </c>
      <c r="B436" s="103" t="s">
        <v>185</v>
      </c>
      <c r="C436" s="73">
        <v>65.5</v>
      </c>
      <c r="D436"/>
    </row>
    <row r="437" spans="1:8" s="98" customFormat="1" ht="29.25" customHeight="1" x14ac:dyDescent="0.25">
      <c r="A437" s="65" t="s">
        <v>612</v>
      </c>
      <c r="B437" s="103" t="s">
        <v>185</v>
      </c>
      <c r="C437" s="73">
        <v>86.83</v>
      </c>
      <c r="D437"/>
    </row>
    <row r="438" spans="1:8" s="98" customFormat="1" ht="29.25" customHeight="1" x14ac:dyDescent="0.25">
      <c r="A438" s="65" t="s">
        <v>613</v>
      </c>
      <c r="B438" s="103" t="s">
        <v>185</v>
      </c>
      <c r="C438" s="73">
        <v>99.88</v>
      </c>
      <c r="D438"/>
    </row>
    <row r="439" spans="1:8" s="98" customFormat="1" ht="29.25" customHeight="1" x14ac:dyDescent="0.25">
      <c r="A439" s="65" t="s">
        <v>614</v>
      </c>
      <c r="B439" s="68" t="s">
        <v>14</v>
      </c>
      <c r="C439" s="72">
        <v>136</v>
      </c>
      <c r="D439"/>
    </row>
    <row r="440" spans="1:8" s="98" customFormat="1" ht="29.25" customHeight="1" x14ac:dyDescent="0.25">
      <c r="A440" s="65" t="s">
        <v>204</v>
      </c>
      <c r="B440" s="68" t="s">
        <v>14</v>
      </c>
      <c r="C440" s="72">
        <v>1725</v>
      </c>
      <c r="D440"/>
    </row>
    <row r="441" spans="1:8" s="98" customFormat="1" ht="29.25" customHeight="1" x14ac:dyDescent="0.25">
      <c r="A441" s="65" t="s">
        <v>376</v>
      </c>
      <c r="B441" s="103" t="s">
        <v>14</v>
      </c>
      <c r="C441" s="73">
        <v>33.299999999999997</v>
      </c>
      <c r="D441"/>
    </row>
    <row r="442" spans="1:8" s="98" customFormat="1" ht="29.25" customHeight="1" x14ac:dyDescent="0.25">
      <c r="A442" s="65" t="s">
        <v>377</v>
      </c>
      <c r="B442" s="103" t="s">
        <v>14</v>
      </c>
      <c r="C442" s="73">
        <v>47.8</v>
      </c>
      <c r="D442"/>
    </row>
    <row r="443" spans="1:8" s="98" customFormat="1" ht="29.25" customHeight="1" x14ac:dyDescent="0.25">
      <c r="A443" s="65" t="s">
        <v>615</v>
      </c>
      <c r="B443" s="103" t="s">
        <v>14</v>
      </c>
      <c r="C443" s="73">
        <v>8450</v>
      </c>
      <c r="D443"/>
    </row>
    <row r="444" spans="1:8" s="98" customFormat="1" ht="29.25" customHeight="1" x14ac:dyDescent="0.25">
      <c r="A444" s="65" t="s">
        <v>616</v>
      </c>
      <c r="B444" s="68" t="s">
        <v>216</v>
      </c>
      <c r="C444" s="72">
        <v>3430</v>
      </c>
      <c r="D444"/>
    </row>
    <row r="445" spans="1:8" s="98" customFormat="1" ht="29.25" customHeight="1" x14ac:dyDescent="0.25">
      <c r="A445" s="65" t="s">
        <v>327</v>
      </c>
      <c r="B445" s="103" t="s">
        <v>14</v>
      </c>
      <c r="C445" s="73">
        <v>16.78</v>
      </c>
      <c r="D445"/>
    </row>
    <row r="446" spans="1:8" x14ac:dyDescent="0.25">
      <c r="A446" s="65" t="s">
        <v>214</v>
      </c>
      <c r="B446" s="68" t="s">
        <v>14</v>
      </c>
      <c r="C446" s="72">
        <v>1100</v>
      </c>
      <c r="H446" t="s">
        <v>49</v>
      </c>
    </row>
    <row r="447" spans="1:8" x14ac:dyDescent="0.25">
      <c r="A447" s="65" t="s">
        <v>617</v>
      </c>
      <c r="B447" s="103" t="s">
        <v>14</v>
      </c>
      <c r="C447" s="73">
        <v>6780.3</v>
      </c>
    </row>
    <row r="448" spans="1:8" x14ac:dyDescent="0.25">
      <c r="A448" s="65" t="s">
        <v>340</v>
      </c>
      <c r="B448" s="103" t="s">
        <v>14</v>
      </c>
      <c r="C448" s="73">
        <v>31683.9</v>
      </c>
    </row>
    <row r="449" spans="1:3" x14ac:dyDescent="0.25">
      <c r="A449" s="65" t="s">
        <v>357</v>
      </c>
      <c r="B449" s="103" t="s">
        <v>14</v>
      </c>
      <c r="C449" s="73">
        <v>7259.32</v>
      </c>
    </row>
    <row r="450" spans="1:3" x14ac:dyDescent="0.25">
      <c r="A450" s="65" t="s">
        <v>356</v>
      </c>
      <c r="B450" s="103" t="s">
        <v>14</v>
      </c>
      <c r="C450" s="73">
        <v>7259.32</v>
      </c>
    </row>
    <row r="451" spans="1:3" x14ac:dyDescent="0.25">
      <c r="A451" s="65" t="s">
        <v>355</v>
      </c>
      <c r="B451" s="103" t="s">
        <v>14</v>
      </c>
      <c r="C451" s="73">
        <v>6335.59</v>
      </c>
    </row>
    <row r="452" spans="1:3" x14ac:dyDescent="0.25">
      <c r="A452" s="65" t="s">
        <v>362</v>
      </c>
      <c r="B452" s="103" t="s">
        <v>14</v>
      </c>
      <c r="C452" s="73">
        <v>17628.810000000001</v>
      </c>
    </row>
    <row r="453" spans="1:3" x14ac:dyDescent="0.25">
      <c r="A453" s="65" t="s">
        <v>361</v>
      </c>
      <c r="B453" s="103" t="s">
        <v>14</v>
      </c>
      <c r="C453" s="73">
        <v>23091.53</v>
      </c>
    </row>
    <row r="454" spans="1:3" x14ac:dyDescent="0.25">
      <c r="A454" s="65" t="s">
        <v>360</v>
      </c>
      <c r="B454" s="103" t="s">
        <v>14</v>
      </c>
      <c r="C454" s="73">
        <v>13186.44</v>
      </c>
    </row>
    <row r="455" spans="1:3" x14ac:dyDescent="0.25">
      <c r="A455" s="65" t="s">
        <v>359</v>
      </c>
      <c r="B455" s="103" t="s">
        <v>14</v>
      </c>
      <c r="C455" s="73">
        <v>18148.310000000001</v>
      </c>
    </row>
    <row r="456" spans="1:3" x14ac:dyDescent="0.25">
      <c r="A456" s="65" t="s">
        <v>358</v>
      </c>
      <c r="B456" s="103" t="s">
        <v>14</v>
      </c>
      <c r="C456" s="73">
        <v>18943.22</v>
      </c>
    </row>
    <row r="457" spans="1:3" x14ac:dyDescent="0.25">
      <c r="A457" s="65" t="s">
        <v>344</v>
      </c>
      <c r="B457" s="103" t="s">
        <v>14</v>
      </c>
      <c r="C457" s="73">
        <v>16794.07</v>
      </c>
    </row>
    <row r="458" spans="1:3" x14ac:dyDescent="0.25">
      <c r="A458" s="65" t="s">
        <v>346</v>
      </c>
      <c r="B458" s="103" t="s">
        <v>14</v>
      </c>
      <c r="C458" s="73">
        <v>53884.75</v>
      </c>
    </row>
    <row r="459" spans="1:3" x14ac:dyDescent="0.25">
      <c r="A459" s="65" t="s">
        <v>345</v>
      </c>
      <c r="B459" s="103" t="s">
        <v>14</v>
      </c>
      <c r="C459" s="73">
        <v>18217.8</v>
      </c>
    </row>
    <row r="460" spans="1:3" x14ac:dyDescent="0.25">
      <c r="A460" s="65" t="s">
        <v>343</v>
      </c>
      <c r="B460" s="103" t="s">
        <v>14</v>
      </c>
      <c r="C460" s="73">
        <v>9205.08</v>
      </c>
    </row>
    <row r="461" spans="1:3" x14ac:dyDescent="0.25">
      <c r="A461" s="65" t="s">
        <v>342</v>
      </c>
      <c r="B461" s="103" t="s">
        <v>14</v>
      </c>
      <c r="C461" s="73">
        <v>14250.85</v>
      </c>
    </row>
    <row r="462" spans="1:3" x14ac:dyDescent="0.25">
      <c r="A462" s="65" t="s">
        <v>341</v>
      </c>
      <c r="B462" s="103" t="s">
        <v>14</v>
      </c>
      <c r="C462" s="73">
        <v>26871.19</v>
      </c>
    </row>
    <row r="463" spans="1:3" x14ac:dyDescent="0.25">
      <c r="A463" s="65" t="s">
        <v>352</v>
      </c>
      <c r="B463" s="103" t="s">
        <v>14</v>
      </c>
      <c r="C463" s="73">
        <v>86820.34</v>
      </c>
    </row>
    <row r="464" spans="1:3" x14ac:dyDescent="0.25">
      <c r="A464" s="65" t="s">
        <v>350</v>
      </c>
      <c r="B464" s="103" t="s">
        <v>14</v>
      </c>
      <c r="C464" s="73">
        <v>53015.25</v>
      </c>
    </row>
    <row r="465" spans="1:3" x14ac:dyDescent="0.25">
      <c r="A465" s="65" t="s">
        <v>354</v>
      </c>
      <c r="B465" s="103" t="s">
        <v>14</v>
      </c>
      <c r="C465" s="73">
        <v>85436.44</v>
      </c>
    </row>
    <row r="466" spans="1:3" x14ac:dyDescent="0.25">
      <c r="A466" s="65" t="s">
        <v>353</v>
      </c>
      <c r="B466" s="103" t="s">
        <v>14</v>
      </c>
      <c r="C466" s="73">
        <v>49650</v>
      </c>
    </row>
    <row r="467" spans="1:3" x14ac:dyDescent="0.25">
      <c r="A467" s="65" t="s">
        <v>349</v>
      </c>
      <c r="B467" s="103" t="s">
        <v>14</v>
      </c>
      <c r="C467" s="73">
        <v>81137.289999999994</v>
      </c>
    </row>
    <row r="468" spans="1:3" x14ac:dyDescent="0.25">
      <c r="A468" s="65" t="s">
        <v>347</v>
      </c>
      <c r="B468" s="103" t="s">
        <v>14</v>
      </c>
      <c r="C468" s="73">
        <v>37259.32</v>
      </c>
    </row>
    <row r="469" spans="1:3" x14ac:dyDescent="0.25">
      <c r="A469" s="65" t="s">
        <v>351</v>
      </c>
      <c r="B469" s="103" t="s">
        <v>14</v>
      </c>
      <c r="C469" s="73">
        <v>21217.8</v>
      </c>
    </row>
    <row r="470" spans="1:3" x14ac:dyDescent="0.25">
      <c r="A470" s="65" t="s">
        <v>348</v>
      </c>
      <c r="B470" s="103" t="s">
        <v>14</v>
      </c>
      <c r="C470" s="73">
        <v>37827.97</v>
      </c>
    </row>
    <row r="471" spans="1:3" x14ac:dyDescent="0.25">
      <c r="A471" s="65" t="s">
        <v>618</v>
      </c>
      <c r="B471" s="103" t="s">
        <v>14</v>
      </c>
      <c r="C471" s="73">
        <v>66355.929999999993</v>
      </c>
    </row>
    <row r="472" spans="1:3" x14ac:dyDescent="0.25">
      <c r="A472" s="65" t="s">
        <v>619</v>
      </c>
      <c r="B472" s="103" t="s">
        <v>14</v>
      </c>
      <c r="C472" s="73">
        <v>57754.239999999998</v>
      </c>
    </row>
    <row r="473" spans="1:3" x14ac:dyDescent="0.25">
      <c r="A473" s="65" t="s">
        <v>620</v>
      </c>
      <c r="B473" s="103" t="s">
        <v>14</v>
      </c>
      <c r="C473" s="73">
        <v>98983.05</v>
      </c>
    </row>
    <row r="474" spans="1:3" x14ac:dyDescent="0.25">
      <c r="A474" s="65" t="s">
        <v>621</v>
      </c>
      <c r="B474" s="103" t="s">
        <v>14</v>
      </c>
      <c r="C474" s="73">
        <v>91949.15</v>
      </c>
    </row>
    <row r="475" spans="1:3" x14ac:dyDescent="0.25">
      <c r="A475" s="65" t="s">
        <v>622</v>
      </c>
      <c r="B475" s="103" t="s">
        <v>14</v>
      </c>
      <c r="C475" s="73">
        <v>44237.29</v>
      </c>
    </row>
    <row r="476" spans="1:3" x14ac:dyDescent="0.25">
      <c r="A476" s="65" t="s">
        <v>623</v>
      </c>
      <c r="B476" s="103" t="s">
        <v>14</v>
      </c>
      <c r="C476" s="73">
        <v>816949.15</v>
      </c>
    </row>
    <row r="477" spans="1:3" ht="25.5" x14ac:dyDescent="0.25">
      <c r="A477" s="65" t="s">
        <v>215</v>
      </c>
      <c r="B477" s="68" t="s">
        <v>14</v>
      </c>
      <c r="C477" s="72">
        <v>660</v>
      </c>
    </row>
    <row r="478" spans="1:3" x14ac:dyDescent="0.25">
      <c r="A478" s="65" t="s">
        <v>624</v>
      </c>
      <c r="B478" s="68" t="s">
        <v>14</v>
      </c>
      <c r="C478" s="72">
        <v>776</v>
      </c>
    </row>
    <row r="479" spans="1:3" x14ac:dyDescent="0.25">
      <c r="A479" s="65" t="s">
        <v>625</v>
      </c>
      <c r="B479" s="68" t="s">
        <v>14</v>
      </c>
      <c r="C479" s="72">
        <v>782</v>
      </c>
    </row>
    <row r="480" spans="1:3" x14ac:dyDescent="0.25">
      <c r="A480" s="65" t="s">
        <v>626</v>
      </c>
      <c r="B480" s="68" t="s">
        <v>14</v>
      </c>
      <c r="C480" s="72">
        <v>1014</v>
      </c>
    </row>
    <row r="481" spans="1:3" ht="38.25" x14ac:dyDescent="0.25">
      <c r="A481" s="65" t="s">
        <v>628</v>
      </c>
      <c r="B481" s="68" t="s">
        <v>14</v>
      </c>
      <c r="C481" s="72">
        <v>3742.36</v>
      </c>
    </row>
    <row r="482" spans="1:3" ht="38.25" x14ac:dyDescent="0.25">
      <c r="A482" s="65" t="s">
        <v>628</v>
      </c>
      <c r="B482" s="68" t="s">
        <v>14</v>
      </c>
      <c r="C482" s="72">
        <v>3742.36</v>
      </c>
    </row>
    <row r="483" spans="1:3" ht="38.25" x14ac:dyDescent="0.25">
      <c r="A483" s="65" t="s">
        <v>628</v>
      </c>
      <c r="B483" s="68" t="s">
        <v>14</v>
      </c>
      <c r="C483" s="72">
        <v>3742.36</v>
      </c>
    </row>
    <row r="484" spans="1:3" ht="38.25" x14ac:dyDescent="0.25">
      <c r="A484" s="65" t="s">
        <v>629</v>
      </c>
      <c r="B484" s="68" t="s">
        <v>14</v>
      </c>
      <c r="C484" s="72">
        <v>6980</v>
      </c>
    </row>
    <row r="485" spans="1:3" ht="25.5" x14ac:dyDescent="0.25">
      <c r="A485" s="65" t="s">
        <v>627</v>
      </c>
      <c r="B485" s="103" t="s">
        <v>14</v>
      </c>
      <c r="C485" s="73">
        <v>1028.3800000000001</v>
      </c>
    </row>
  </sheetData>
  <sortState ref="A2:D651">
    <sortCondition ref="A2:A651"/>
  </sortState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topLeftCell="A46" workbookViewId="0">
      <selection sqref="A1:C1"/>
    </sheetView>
  </sheetViews>
  <sheetFormatPr defaultRowHeight="15" x14ac:dyDescent="0.25"/>
  <cols>
    <col min="1" max="1" width="60.28515625" style="70" customWidth="1"/>
    <col min="2" max="2" width="15" style="69" customWidth="1"/>
    <col min="3" max="3" width="15" style="74" customWidth="1"/>
  </cols>
  <sheetData>
    <row r="1" spans="1:3" x14ac:dyDescent="0.25">
      <c r="A1" s="4" t="s">
        <v>87</v>
      </c>
      <c r="B1" s="66" t="s">
        <v>87</v>
      </c>
      <c r="C1" s="71">
        <v>0</v>
      </c>
    </row>
    <row r="2" spans="1:3" x14ac:dyDescent="0.25">
      <c r="A2" s="76" t="s">
        <v>236</v>
      </c>
      <c r="B2" s="68" t="s">
        <v>14</v>
      </c>
      <c r="C2" s="72">
        <v>78</v>
      </c>
    </row>
    <row r="3" spans="1:3" x14ac:dyDescent="0.25">
      <c r="A3" s="76" t="s">
        <v>237</v>
      </c>
      <c r="B3" s="68" t="s">
        <v>14</v>
      </c>
      <c r="C3" s="72">
        <v>75.599999999999994</v>
      </c>
    </row>
    <row r="4" spans="1:3" x14ac:dyDescent="0.25">
      <c r="A4" s="76" t="s">
        <v>238</v>
      </c>
      <c r="B4" s="68" t="s">
        <v>14</v>
      </c>
      <c r="C4" s="72">
        <v>33.5</v>
      </c>
    </row>
    <row r="5" spans="1:3" x14ac:dyDescent="0.25">
      <c r="A5" s="76" t="s">
        <v>239</v>
      </c>
      <c r="B5" s="68" t="s">
        <v>14</v>
      </c>
      <c r="C5" s="72">
        <v>720</v>
      </c>
    </row>
    <row r="6" spans="1:3" x14ac:dyDescent="0.25">
      <c r="A6" s="76" t="s">
        <v>207</v>
      </c>
      <c r="B6" s="68" t="s">
        <v>14</v>
      </c>
      <c r="C6" s="72">
        <v>3300</v>
      </c>
    </row>
    <row r="7" spans="1:3" x14ac:dyDescent="0.25">
      <c r="A7" s="76" t="s">
        <v>206</v>
      </c>
      <c r="B7" s="68" t="s">
        <v>14</v>
      </c>
      <c r="C7" s="72">
        <v>19800</v>
      </c>
    </row>
    <row r="8" spans="1:3" x14ac:dyDescent="0.25">
      <c r="A8" s="76" t="s">
        <v>240</v>
      </c>
      <c r="B8" s="68" t="s">
        <v>14</v>
      </c>
      <c r="C8" s="72">
        <v>22.9</v>
      </c>
    </row>
    <row r="9" spans="1:3" x14ac:dyDescent="0.25">
      <c r="A9" s="76" t="s">
        <v>241</v>
      </c>
      <c r="B9" s="68" t="s">
        <v>14</v>
      </c>
      <c r="C9" s="72">
        <v>764</v>
      </c>
    </row>
    <row r="10" spans="1:3" x14ac:dyDescent="0.25">
      <c r="A10" s="76" t="s">
        <v>242</v>
      </c>
      <c r="B10" s="68" t="s">
        <v>14</v>
      </c>
      <c r="C10" s="72">
        <v>107.5</v>
      </c>
    </row>
    <row r="11" spans="1:3" x14ac:dyDescent="0.25">
      <c r="A11" s="76" t="s">
        <v>243</v>
      </c>
      <c r="B11" s="68" t="s">
        <v>14</v>
      </c>
      <c r="C11" s="72">
        <v>58</v>
      </c>
    </row>
    <row r="12" spans="1:3" x14ac:dyDescent="0.25">
      <c r="A12" s="76" t="s">
        <v>244</v>
      </c>
      <c r="B12" s="68" t="s">
        <v>14</v>
      </c>
      <c r="C12" s="72">
        <v>81</v>
      </c>
    </row>
    <row r="13" spans="1:3" x14ac:dyDescent="0.25">
      <c r="A13" s="76" t="s">
        <v>245</v>
      </c>
      <c r="B13" s="68" t="s">
        <v>14</v>
      </c>
      <c r="C13" s="72">
        <v>130</v>
      </c>
    </row>
    <row r="14" spans="1:3" x14ac:dyDescent="0.25">
      <c r="A14" s="76" t="s">
        <v>246</v>
      </c>
      <c r="B14" s="68" t="s">
        <v>14</v>
      </c>
      <c r="C14" s="72">
        <v>82.2</v>
      </c>
    </row>
    <row r="15" spans="1:3" x14ac:dyDescent="0.25">
      <c r="A15" s="76" t="s">
        <v>247</v>
      </c>
      <c r="B15" s="68" t="s">
        <v>14</v>
      </c>
      <c r="C15" s="72">
        <v>116</v>
      </c>
    </row>
    <row r="16" spans="1:3" x14ac:dyDescent="0.25">
      <c r="A16" s="76" t="s">
        <v>248</v>
      </c>
      <c r="B16" s="68" t="s">
        <v>14</v>
      </c>
      <c r="C16" s="72">
        <v>198.5</v>
      </c>
    </row>
    <row r="17" spans="1:3" x14ac:dyDescent="0.25">
      <c r="A17" s="76" t="s">
        <v>208</v>
      </c>
      <c r="B17" s="68" t="s">
        <v>14</v>
      </c>
      <c r="C17" s="72">
        <v>330</v>
      </c>
    </row>
    <row r="18" spans="1:3" x14ac:dyDescent="0.25">
      <c r="A18" s="76" t="s">
        <v>249</v>
      </c>
      <c r="B18" s="68" t="s">
        <v>14</v>
      </c>
      <c r="C18" s="72">
        <v>1104.5</v>
      </c>
    </row>
    <row r="19" spans="1:3" x14ac:dyDescent="0.25">
      <c r="A19" s="76" t="s">
        <v>250</v>
      </c>
      <c r="B19" s="68" t="s">
        <v>14</v>
      </c>
      <c r="C19" s="72">
        <v>2070.5</v>
      </c>
    </row>
    <row r="20" spans="1:3" x14ac:dyDescent="0.25">
      <c r="A20" s="76" t="s">
        <v>251</v>
      </c>
      <c r="B20" s="68" t="s">
        <v>14</v>
      </c>
      <c r="C20" s="72">
        <v>2985.5</v>
      </c>
    </row>
    <row r="21" spans="1:3" x14ac:dyDescent="0.25">
      <c r="A21" s="76" t="s">
        <v>252</v>
      </c>
      <c r="B21" s="68" t="s">
        <v>14</v>
      </c>
      <c r="C21" s="72">
        <v>170</v>
      </c>
    </row>
    <row r="22" spans="1:3" ht="25.5" x14ac:dyDescent="0.25">
      <c r="A22" s="76" t="s">
        <v>205</v>
      </c>
      <c r="B22" s="68" t="s">
        <v>14</v>
      </c>
      <c r="C22" s="72">
        <v>4370</v>
      </c>
    </row>
    <row r="23" spans="1:3" x14ac:dyDescent="0.25">
      <c r="A23" s="76" t="s">
        <v>253</v>
      </c>
      <c r="B23" s="68" t="s">
        <v>14</v>
      </c>
      <c r="C23" s="72">
        <v>96</v>
      </c>
    </row>
    <row r="24" spans="1:3" x14ac:dyDescent="0.25">
      <c r="A24" s="76" t="s">
        <v>254</v>
      </c>
      <c r="B24" s="68" t="s">
        <v>14</v>
      </c>
      <c r="C24" s="72">
        <v>24.8</v>
      </c>
    </row>
    <row r="25" spans="1:3" x14ac:dyDescent="0.25">
      <c r="A25" s="76" t="s">
        <v>255</v>
      </c>
      <c r="B25" s="68" t="s">
        <v>14</v>
      </c>
      <c r="C25" s="72">
        <v>50.6</v>
      </c>
    </row>
    <row r="26" spans="1:3" x14ac:dyDescent="0.25">
      <c r="A26" s="76" t="s">
        <v>295</v>
      </c>
      <c r="B26" s="68" t="s">
        <v>14</v>
      </c>
      <c r="C26" s="72">
        <v>3012</v>
      </c>
    </row>
    <row r="27" spans="1:3" x14ac:dyDescent="0.25">
      <c r="A27" s="76" t="s">
        <v>291</v>
      </c>
      <c r="B27" s="68" t="s">
        <v>14</v>
      </c>
      <c r="C27" s="72">
        <v>1561.5</v>
      </c>
    </row>
    <row r="28" spans="1:3" x14ac:dyDescent="0.25">
      <c r="A28" s="76" t="s">
        <v>294</v>
      </c>
      <c r="B28" s="68" t="s">
        <v>14</v>
      </c>
      <c r="C28" s="72">
        <v>625</v>
      </c>
    </row>
    <row r="29" spans="1:3" x14ac:dyDescent="0.25">
      <c r="A29" s="76" t="s">
        <v>256</v>
      </c>
      <c r="B29" s="68" t="s">
        <v>14</v>
      </c>
      <c r="C29" s="72">
        <v>15.8</v>
      </c>
    </row>
    <row r="30" spans="1:3" x14ac:dyDescent="0.25">
      <c r="A30" s="76" t="s">
        <v>257</v>
      </c>
      <c r="B30" s="68" t="s">
        <v>14</v>
      </c>
      <c r="C30" s="72">
        <v>494</v>
      </c>
    </row>
    <row r="31" spans="1:3" x14ac:dyDescent="0.25">
      <c r="A31" s="76" t="s">
        <v>258</v>
      </c>
      <c r="B31" s="68" t="s">
        <v>14</v>
      </c>
      <c r="C31" s="72">
        <v>1250</v>
      </c>
    </row>
    <row r="32" spans="1:3" x14ac:dyDescent="0.25">
      <c r="A32" s="76" t="s">
        <v>259</v>
      </c>
      <c r="B32" s="68" t="s">
        <v>14</v>
      </c>
      <c r="C32" s="72">
        <v>265</v>
      </c>
    </row>
    <row r="33" spans="1:3" ht="25.5" x14ac:dyDescent="0.25">
      <c r="A33" s="76" t="s">
        <v>296</v>
      </c>
      <c r="B33" s="68" t="s">
        <v>14</v>
      </c>
      <c r="C33" s="72">
        <v>82.4</v>
      </c>
    </row>
    <row r="34" spans="1:3" x14ac:dyDescent="0.25">
      <c r="A34" s="76" t="s">
        <v>210</v>
      </c>
      <c r="B34" s="68" t="s">
        <v>14</v>
      </c>
      <c r="C34" s="72">
        <v>990</v>
      </c>
    </row>
    <row r="35" spans="1:3" x14ac:dyDescent="0.25">
      <c r="A35" s="76" t="s">
        <v>297</v>
      </c>
      <c r="B35" s="68" t="s">
        <v>14</v>
      </c>
      <c r="C35" s="72">
        <v>685.5</v>
      </c>
    </row>
    <row r="36" spans="1:3" x14ac:dyDescent="0.25">
      <c r="A36" s="76" t="s">
        <v>298</v>
      </c>
      <c r="B36" s="68" t="s">
        <v>14</v>
      </c>
      <c r="C36" s="72">
        <v>5236</v>
      </c>
    </row>
    <row r="37" spans="1:3" x14ac:dyDescent="0.25">
      <c r="A37" s="76" t="s">
        <v>260</v>
      </c>
      <c r="B37" s="68" t="s">
        <v>14</v>
      </c>
      <c r="C37" s="72">
        <v>130</v>
      </c>
    </row>
    <row r="38" spans="1:3" x14ac:dyDescent="0.25">
      <c r="A38" s="76" t="s">
        <v>209</v>
      </c>
      <c r="B38" s="68" t="s">
        <v>14</v>
      </c>
      <c r="C38" s="72">
        <v>220</v>
      </c>
    </row>
    <row r="39" spans="1:3" x14ac:dyDescent="0.25">
      <c r="A39" s="76" t="s">
        <v>261</v>
      </c>
      <c r="B39" s="68" t="s">
        <v>14</v>
      </c>
      <c r="C39" s="72">
        <v>167</v>
      </c>
    </row>
    <row r="40" spans="1:3" x14ac:dyDescent="0.25">
      <c r="A40" s="76" t="s">
        <v>262</v>
      </c>
      <c r="B40" s="68" t="s">
        <v>14</v>
      </c>
      <c r="C40" s="72">
        <v>71.099999999999994</v>
      </c>
    </row>
    <row r="41" spans="1:3" x14ac:dyDescent="0.25">
      <c r="A41" s="76" t="s">
        <v>290</v>
      </c>
      <c r="B41" s="68" t="s">
        <v>185</v>
      </c>
      <c r="C41" s="72">
        <v>191.63</v>
      </c>
    </row>
    <row r="42" spans="1:3" x14ac:dyDescent="0.25">
      <c r="A42" s="76" t="s">
        <v>263</v>
      </c>
      <c r="B42" s="68" t="s">
        <v>185</v>
      </c>
      <c r="C42" s="72">
        <v>31.65</v>
      </c>
    </row>
    <row r="43" spans="1:3" x14ac:dyDescent="0.25">
      <c r="A43" s="76" t="s">
        <v>264</v>
      </c>
      <c r="B43" s="68" t="s">
        <v>185</v>
      </c>
      <c r="C43" s="72">
        <v>45.85</v>
      </c>
    </row>
    <row r="44" spans="1:3" x14ac:dyDescent="0.25">
      <c r="A44" s="76" t="s">
        <v>265</v>
      </c>
      <c r="B44" s="68" t="s">
        <v>185</v>
      </c>
      <c r="C44" s="72">
        <v>81.599999999999994</v>
      </c>
    </row>
    <row r="45" spans="1:3" x14ac:dyDescent="0.25">
      <c r="A45" s="76" t="s">
        <v>266</v>
      </c>
      <c r="B45" s="68" t="s">
        <v>14</v>
      </c>
      <c r="C45" s="72">
        <v>1432</v>
      </c>
    </row>
    <row r="46" spans="1:3" x14ac:dyDescent="0.25">
      <c r="A46" s="76" t="s">
        <v>267</v>
      </c>
      <c r="B46" s="68" t="s">
        <v>268</v>
      </c>
      <c r="C46" s="72">
        <v>2564</v>
      </c>
    </row>
    <row r="47" spans="1:3" x14ac:dyDescent="0.25">
      <c r="A47" s="76" t="s">
        <v>269</v>
      </c>
      <c r="B47" s="68" t="s">
        <v>14</v>
      </c>
      <c r="C47" s="72">
        <v>792</v>
      </c>
    </row>
    <row r="48" spans="1:3" x14ac:dyDescent="0.25">
      <c r="A48" s="76" t="s">
        <v>272</v>
      </c>
      <c r="B48" s="68" t="s">
        <v>185</v>
      </c>
      <c r="C48" s="72">
        <v>114</v>
      </c>
    </row>
    <row r="49" spans="1:3" x14ac:dyDescent="0.25">
      <c r="A49" s="76" t="s">
        <v>273</v>
      </c>
      <c r="B49" s="68" t="s">
        <v>185</v>
      </c>
      <c r="C49" s="72">
        <v>14.95</v>
      </c>
    </row>
    <row r="50" spans="1:3" x14ac:dyDescent="0.25">
      <c r="A50" s="76" t="s">
        <v>274</v>
      </c>
      <c r="B50" s="68" t="s">
        <v>185</v>
      </c>
      <c r="C50" s="72">
        <v>17.95</v>
      </c>
    </row>
    <row r="51" spans="1:3" x14ac:dyDescent="0.25">
      <c r="A51" s="76" t="s">
        <v>275</v>
      </c>
      <c r="B51" s="68" t="s">
        <v>185</v>
      </c>
      <c r="C51" s="72">
        <v>22.55</v>
      </c>
    </row>
    <row r="52" spans="1:3" x14ac:dyDescent="0.25">
      <c r="A52" s="76" t="s">
        <v>276</v>
      </c>
      <c r="B52" s="68" t="s">
        <v>185</v>
      </c>
      <c r="C52" s="72">
        <v>28.6</v>
      </c>
    </row>
    <row r="53" spans="1:3" x14ac:dyDescent="0.25">
      <c r="A53" s="76" t="s">
        <v>277</v>
      </c>
      <c r="B53" s="68" t="s">
        <v>185</v>
      </c>
      <c r="C53" s="72">
        <v>33.5</v>
      </c>
    </row>
    <row r="54" spans="1:3" x14ac:dyDescent="0.25">
      <c r="A54" s="76" t="s">
        <v>278</v>
      </c>
      <c r="B54" s="68" t="s">
        <v>185</v>
      </c>
      <c r="C54" s="72">
        <v>46.55</v>
      </c>
    </row>
    <row r="55" spans="1:3" x14ac:dyDescent="0.25">
      <c r="A55" s="76" t="s">
        <v>279</v>
      </c>
      <c r="B55" s="68" t="s">
        <v>185</v>
      </c>
      <c r="C55" s="72">
        <v>63.05</v>
      </c>
    </row>
    <row r="56" spans="1:3" x14ac:dyDescent="0.25">
      <c r="A56" s="76" t="s">
        <v>280</v>
      </c>
      <c r="B56" s="68" t="s">
        <v>185</v>
      </c>
      <c r="C56" s="72">
        <v>97.75</v>
      </c>
    </row>
    <row r="57" spans="1:3" x14ac:dyDescent="0.25">
      <c r="A57" s="76" t="s">
        <v>281</v>
      </c>
      <c r="B57" s="68" t="s">
        <v>185</v>
      </c>
      <c r="C57" s="72">
        <v>122.5</v>
      </c>
    </row>
    <row r="58" spans="1:3" x14ac:dyDescent="0.25">
      <c r="A58" s="76" t="s">
        <v>282</v>
      </c>
      <c r="B58" s="68" t="s">
        <v>185</v>
      </c>
      <c r="C58" s="72">
        <v>136</v>
      </c>
    </row>
    <row r="59" spans="1:3" x14ac:dyDescent="0.25">
      <c r="A59" s="76" t="s">
        <v>283</v>
      </c>
      <c r="B59" s="68" t="s">
        <v>185</v>
      </c>
      <c r="C59" s="72">
        <v>160.5</v>
      </c>
    </row>
    <row r="60" spans="1:3" x14ac:dyDescent="0.25">
      <c r="A60" s="76" t="s">
        <v>270</v>
      </c>
      <c r="B60" s="68" t="s">
        <v>185</v>
      </c>
      <c r="C60" s="72">
        <v>255.63</v>
      </c>
    </row>
    <row r="61" spans="1:3" x14ac:dyDescent="0.25">
      <c r="A61" s="76" t="s">
        <v>271</v>
      </c>
      <c r="B61" s="68" t="s">
        <v>185</v>
      </c>
      <c r="C61" s="72">
        <v>255.9</v>
      </c>
    </row>
    <row r="62" spans="1:3" x14ac:dyDescent="0.25">
      <c r="A62" s="76" t="s">
        <v>293</v>
      </c>
      <c r="B62" s="68" t="s">
        <v>14</v>
      </c>
      <c r="C62" s="72">
        <v>912.5</v>
      </c>
    </row>
    <row r="63" spans="1:3" x14ac:dyDescent="0.25">
      <c r="A63" s="76" t="s">
        <v>292</v>
      </c>
      <c r="B63" s="68" t="s">
        <v>14</v>
      </c>
      <c r="C63" s="72">
        <v>2712.5</v>
      </c>
    </row>
    <row r="64" spans="1:3" x14ac:dyDescent="0.25">
      <c r="A64" s="76" t="s">
        <v>284</v>
      </c>
      <c r="B64" s="68" t="s">
        <v>14</v>
      </c>
      <c r="C64" s="72">
        <v>2191</v>
      </c>
    </row>
    <row r="65" spans="1:3" x14ac:dyDescent="0.25">
      <c r="A65" s="76" t="s">
        <v>285</v>
      </c>
      <c r="B65" s="68" t="s">
        <v>14</v>
      </c>
      <c r="C65" s="72">
        <v>1599</v>
      </c>
    </row>
    <row r="66" spans="1:3" x14ac:dyDescent="0.25">
      <c r="A66" s="76" t="s">
        <v>286</v>
      </c>
      <c r="B66" s="68" t="s">
        <v>14</v>
      </c>
      <c r="C66" s="72">
        <v>283.5</v>
      </c>
    </row>
    <row r="67" spans="1:3" x14ac:dyDescent="0.25">
      <c r="A67" s="76" t="s">
        <v>287</v>
      </c>
      <c r="B67" s="68" t="s">
        <v>14</v>
      </c>
      <c r="C67" s="72">
        <v>212.5</v>
      </c>
    </row>
    <row r="68" spans="1:3" x14ac:dyDescent="0.25">
      <c r="A68" s="76" t="s">
        <v>288</v>
      </c>
      <c r="B68" s="68" t="s">
        <v>14</v>
      </c>
      <c r="C68" s="72">
        <v>227.5</v>
      </c>
    </row>
    <row r="69" spans="1:3" x14ac:dyDescent="0.25">
      <c r="A69" s="76" t="s">
        <v>289</v>
      </c>
      <c r="B69" s="68" t="s">
        <v>14</v>
      </c>
      <c r="C69" s="72">
        <v>2580</v>
      </c>
    </row>
    <row r="70" spans="1:3" x14ac:dyDescent="0.25">
      <c r="A70" s="75"/>
      <c r="B70" s="66"/>
      <c r="C70" s="71"/>
    </row>
    <row r="71" spans="1:3" x14ac:dyDescent="0.25">
      <c r="A71" s="75"/>
      <c r="B71" s="66"/>
      <c r="C71" s="71"/>
    </row>
    <row r="72" spans="1:3" x14ac:dyDescent="0.25">
      <c r="A72" s="75"/>
      <c r="B72" s="66"/>
      <c r="C72" s="71"/>
    </row>
    <row r="73" spans="1:3" x14ac:dyDescent="0.25">
      <c r="A73" s="75"/>
      <c r="B73" s="66"/>
      <c r="C73" s="71"/>
    </row>
    <row r="74" spans="1:3" x14ac:dyDescent="0.25">
      <c r="A74" s="75"/>
      <c r="B74" s="66"/>
      <c r="C74" s="71"/>
    </row>
    <row r="75" spans="1:3" x14ac:dyDescent="0.25">
      <c r="A75" s="75"/>
      <c r="B75" s="66"/>
      <c r="C75" s="71"/>
    </row>
    <row r="76" spans="1:3" x14ac:dyDescent="0.25">
      <c r="A76" s="75"/>
      <c r="B76" s="77"/>
      <c r="C76" s="78"/>
    </row>
    <row r="77" spans="1:3" x14ac:dyDescent="0.25">
      <c r="A77" s="75"/>
      <c r="B77" s="66"/>
      <c r="C77" s="71"/>
    </row>
    <row r="78" spans="1:3" x14ac:dyDescent="0.25">
      <c r="A78" s="75"/>
      <c r="B78" s="66"/>
      <c r="C78" s="71"/>
    </row>
    <row r="79" spans="1:3" x14ac:dyDescent="0.25">
      <c r="A79" s="75"/>
      <c r="B79" s="66"/>
      <c r="C79" s="71"/>
    </row>
    <row r="80" spans="1:3" x14ac:dyDescent="0.25">
      <c r="A80" s="75"/>
      <c r="B80" s="66"/>
      <c r="C80" s="71"/>
    </row>
    <row r="81" spans="1:3" x14ac:dyDescent="0.25">
      <c r="A81" s="75"/>
      <c r="B81" s="66"/>
      <c r="C81" s="71"/>
    </row>
    <row r="82" spans="1:3" x14ac:dyDescent="0.25">
      <c r="A82" s="75"/>
      <c r="B82" s="66"/>
      <c r="C82" s="71"/>
    </row>
    <row r="83" spans="1:3" x14ac:dyDescent="0.25">
      <c r="A83" s="75"/>
      <c r="B83" s="66"/>
      <c r="C83" s="71"/>
    </row>
    <row r="84" spans="1:3" x14ac:dyDescent="0.25">
      <c r="A84" s="75"/>
      <c r="B84" s="66"/>
      <c r="C84" s="71"/>
    </row>
    <row r="85" spans="1:3" x14ac:dyDescent="0.25">
      <c r="A85" s="75"/>
      <c r="B85" s="66"/>
      <c r="C85" s="71"/>
    </row>
    <row r="86" spans="1:3" x14ac:dyDescent="0.25">
      <c r="A86" s="75"/>
      <c r="B86" s="66"/>
      <c r="C86" s="71"/>
    </row>
    <row r="87" spans="1:3" x14ac:dyDescent="0.25">
      <c r="A87" s="75"/>
      <c r="B87" s="66"/>
      <c r="C87" s="71"/>
    </row>
    <row r="88" spans="1:3" x14ac:dyDescent="0.25">
      <c r="A88" s="75"/>
      <c r="B88" s="66"/>
      <c r="C88" s="71"/>
    </row>
    <row r="89" spans="1:3" x14ac:dyDescent="0.25">
      <c r="A89" s="75"/>
      <c r="B89" s="66"/>
      <c r="C89" s="71"/>
    </row>
    <row r="90" spans="1:3" x14ac:dyDescent="0.25">
      <c r="A90" s="75"/>
      <c r="B90" s="66"/>
      <c r="C90" s="71"/>
    </row>
    <row r="91" spans="1:3" x14ac:dyDescent="0.25">
      <c r="A91" s="75"/>
      <c r="B91" s="66"/>
      <c r="C91" s="71"/>
    </row>
    <row r="92" spans="1:3" ht="16.5" customHeight="1" x14ac:dyDescent="0.25">
      <c r="A92" s="75"/>
      <c r="B92" s="66"/>
      <c r="C92" s="71"/>
    </row>
    <row r="93" spans="1:3" ht="16.5" customHeight="1" x14ac:dyDescent="0.25">
      <c r="A93" s="75"/>
      <c r="B93" s="66"/>
      <c r="C93" s="71"/>
    </row>
    <row r="94" spans="1:3" x14ac:dyDescent="0.25">
      <c r="A94" s="79"/>
      <c r="B94" s="80"/>
      <c r="C94" s="81"/>
    </row>
    <row r="95" spans="1:3" x14ac:dyDescent="0.25">
      <c r="A95" s="79"/>
      <c r="B95" s="80"/>
      <c r="C95" s="81"/>
    </row>
    <row r="96" spans="1:3" ht="29.25" customHeight="1" x14ac:dyDescent="0.25">
      <c r="A96" s="75"/>
      <c r="B96" s="66"/>
      <c r="C96" s="71"/>
    </row>
    <row r="97" spans="1:8" x14ac:dyDescent="0.25">
      <c r="A97" s="75"/>
      <c r="B97" s="66"/>
      <c r="C97" s="71"/>
      <c r="H97" t="s">
        <v>49</v>
      </c>
    </row>
    <row r="98" spans="1:8" x14ac:dyDescent="0.25">
      <c r="A98" s="75"/>
      <c r="B98" s="66"/>
      <c r="C98" s="71"/>
    </row>
    <row r="99" spans="1:8" x14ac:dyDescent="0.25">
      <c r="A99" s="75"/>
      <c r="B99" s="66"/>
      <c r="C99" s="71"/>
    </row>
    <row r="100" spans="1:8" x14ac:dyDescent="0.25">
      <c r="A100" s="75"/>
      <c r="B100" s="66"/>
      <c r="C100" s="71"/>
    </row>
    <row r="101" spans="1:8" x14ac:dyDescent="0.25">
      <c r="A101" s="75"/>
      <c r="B101" s="66"/>
      <c r="C101" s="71"/>
    </row>
    <row r="102" spans="1:8" x14ac:dyDescent="0.25">
      <c r="A102" s="75"/>
      <c r="B102" s="66"/>
      <c r="C102" s="71"/>
    </row>
    <row r="103" spans="1:8" x14ac:dyDescent="0.25">
      <c r="A103" s="75"/>
      <c r="B103" s="66"/>
      <c r="C103" s="71"/>
    </row>
    <row r="104" spans="1:8" x14ac:dyDescent="0.25">
      <c r="A104" s="82"/>
      <c r="B104" s="83"/>
      <c r="C104" s="71"/>
    </row>
    <row r="105" spans="1:8" x14ac:dyDescent="0.25">
      <c r="A105" s="82"/>
      <c r="B105" s="83"/>
      <c r="C105" s="71"/>
    </row>
    <row r="106" spans="1:8" x14ac:dyDescent="0.25">
      <c r="A106" s="82"/>
      <c r="B106" s="83"/>
      <c r="C106" s="71"/>
    </row>
    <row r="107" spans="1:8" x14ac:dyDescent="0.25">
      <c r="A107" s="82"/>
      <c r="B107" s="83"/>
      <c r="C107" s="71"/>
    </row>
    <row r="108" spans="1:8" x14ac:dyDescent="0.25">
      <c r="A108" s="82"/>
      <c r="B108" s="83"/>
      <c r="C108" s="71"/>
    </row>
    <row r="109" spans="1:8" x14ac:dyDescent="0.25">
      <c r="A109" s="82"/>
      <c r="B109" s="83"/>
      <c r="C109" s="71"/>
    </row>
    <row r="110" spans="1:8" x14ac:dyDescent="0.25">
      <c r="A110" s="84"/>
      <c r="B110" s="83"/>
      <c r="C110" s="71"/>
    </row>
    <row r="111" spans="1:8" x14ac:dyDescent="0.25">
      <c r="A111" s="84"/>
      <c r="B111" s="83"/>
      <c r="C111" s="71"/>
    </row>
    <row r="112" spans="1:8" x14ac:dyDescent="0.25">
      <c r="B112" s="70"/>
    </row>
    <row r="113" spans="2:2" x14ac:dyDescent="0.25">
      <c r="B113" s="70"/>
    </row>
    <row r="114" spans="2:2" x14ac:dyDescent="0.25">
      <c r="B114" s="70"/>
    </row>
    <row r="115" spans="2:2" x14ac:dyDescent="0.25">
      <c r="B115" s="70"/>
    </row>
    <row r="116" spans="2:2" x14ac:dyDescent="0.25">
      <c r="B116" s="70"/>
    </row>
  </sheetData>
  <sortState ref="A1:C116">
    <sortCondition ref="A1:A116"/>
  </sortState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7" workbookViewId="0">
      <selection activeCell="A8" sqref="A8"/>
    </sheetView>
  </sheetViews>
  <sheetFormatPr defaultRowHeight="15" x14ac:dyDescent="0.25"/>
  <cols>
    <col min="1" max="1" width="60.28515625" style="70" customWidth="1"/>
    <col min="2" max="2" width="12.7109375" style="69" customWidth="1"/>
    <col min="3" max="3" width="15" style="70" customWidth="1"/>
  </cols>
  <sheetData>
    <row r="1" spans="1:3" x14ac:dyDescent="0.25">
      <c r="A1" s="4" t="s">
        <v>87</v>
      </c>
      <c r="B1" s="66" t="s">
        <v>87</v>
      </c>
      <c r="C1" s="71">
        <v>0</v>
      </c>
    </row>
    <row r="2" spans="1:3" x14ac:dyDescent="0.25">
      <c r="A2" s="85" t="s">
        <v>238</v>
      </c>
      <c r="B2" s="86" t="s">
        <v>14</v>
      </c>
      <c r="C2" s="87">
        <v>33.5</v>
      </c>
    </row>
    <row r="3" spans="1:3" x14ac:dyDescent="0.25">
      <c r="A3" s="85" t="s">
        <v>239</v>
      </c>
      <c r="B3" s="86" t="s">
        <v>14</v>
      </c>
      <c r="C3" s="87">
        <v>720</v>
      </c>
    </row>
    <row r="4" spans="1:3" x14ac:dyDescent="0.25">
      <c r="A4" s="85" t="s">
        <v>240</v>
      </c>
      <c r="B4" s="86" t="s">
        <v>14</v>
      </c>
      <c r="C4" s="87">
        <v>22.9</v>
      </c>
    </row>
    <row r="5" spans="1:3" x14ac:dyDescent="0.25">
      <c r="A5" s="85" t="s">
        <v>243</v>
      </c>
      <c r="B5" s="86" t="s">
        <v>14</v>
      </c>
      <c r="C5" s="87">
        <v>58</v>
      </c>
    </row>
    <row r="6" spans="1:3" x14ac:dyDescent="0.25">
      <c r="A6" s="85" t="s">
        <v>244</v>
      </c>
      <c r="B6" s="86" t="s">
        <v>14</v>
      </c>
      <c r="C6" s="87">
        <v>81</v>
      </c>
    </row>
    <row r="7" spans="1:3" x14ac:dyDescent="0.25">
      <c r="A7" s="85" t="s">
        <v>299</v>
      </c>
      <c r="B7" s="86" t="s">
        <v>14</v>
      </c>
      <c r="C7" s="87">
        <v>56</v>
      </c>
    </row>
    <row r="8" spans="1:3" x14ac:dyDescent="0.25">
      <c r="A8" s="85" t="s">
        <v>245</v>
      </c>
      <c r="B8" s="86" t="s">
        <v>14</v>
      </c>
      <c r="C8" s="87">
        <v>130</v>
      </c>
    </row>
    <row r="9" spans="1:3" x14ac:dyDescent="0.25">
      <c r="A9" s="85" t="s">
        <v>246</v>
      </c>
      <c r="B9" s="86" t="s">
        <v>14</v>
      </c>
      <c r="C9" s="87">
        <v>82.2</v>
      </c>
    </row>
    <row r="10" spans="1:3" x14ac:dyDescent="0.25">
      <c r="A10" s="85" t="s">
        <v>247</v>
      </c>
      <c r="B10" s="86" t="s">
        <v>14</v>
      </c>
      <c r="C10" s="87">
        <v>116</v>
      </c>
    </row>
    <row r="11" spans="1:3" x14ac:dyDescent="0.25">
      <c r="A11" s="85" t="s">
        <v>248</v>
      </c>
      <c r="B11" s="86" t="s">
        <v>14</v>
      </c>
      <c r="C11" s="87">
        <v>198.5</v>
      </c>
    </row>
    <row r="12" spans="1:3" x14ac:dyDescent="0.25">
      <c r="A12" s="85" t="s">
        <v>300</v>
      </c>
      <c r="B12" s="86" t="s">
        <v>14</v>
      </c>
      <c r="C12" s="87">
        <v>12.5</v>
      </c>
    </row>
    <row r="13" spans="1:3" x14ac:dyDescent="0.25">
      <c r="A13" s="85" t="s">
        <v>249</v>
      </c>
      <c r="B13" s="86" t="s">
        <v>14</v>
      </c>
      <c r="C13" s="88">
        <v>1104.5</v>
      </c>
    </row>
    <row r="14" spans="1:3" x14ac:dyDescent="0.25">
      <c r="A14" s="85" t="s">
        <v>250</v>
      </c>
      <c r="B14" s="86" t="s">
        <v>14</v>
      </c>
      <c r="C14" s="88">
        <v>2070.5</v>
      </c>
    </row>
    <row r="15" spans="1:3" x14ac:dyDescent="0.25">
      <c r="A15" s="85" t="s">
        <v>251</v>
      </c>
      <c r="B15" s="86" t="s">
        <v>14</v>
      </c>
      <c r="C15" s="88">
        <v>2985.5</v>
      </c>
    </row>
    <row r="16" spans="1:3" x14ac:dyDescent="0.25">
      <c r="A16" s="85" t="s">
        <v>253</v>
      </c>
      <c r="B16" s="86" t="s">
        <v>14</v>
      </c>
      <c r="C16" s="87">
        <v>96</v>
      </c>
    </row>
    <row r="17" spans="1:3" x14ac:dyDescent="0.25">
      <c r="A17" s="85" t="s">
        <v>294</v>
      </c>
      <c r="B17" s="86" t="s">
        <v>14</v>
      </c>
      <c r="C17" s="87">
        <v>625</v>
      </c>
    </row>
    <row r="18" spans="1:3" ht="25.5" x14ac:dyDescent="0.25">
      <c r="A18" s="85" t="s">
        <v>296</v>
      </c>
      <c r="B18" s="86" t="s">
        <v>14</v>
      </c>
      <c r="C18" s="87">
        <v>82.4</v>
      </c>
    </row>
    <row r="19" spans="1:3" x14ac:dyDescent="0.25">
      <c r="A19" s="85" t="s">
        <v>297</v>
      </c>
      <c r="B19" s="86" t="s">
        <v>14</v>
      </c>
      <c r="C19" s="87">
        <v>685.5</v>
      </c>
    </row>
    <row r="20" spans="1:3" x14ac:dyDescent="0.25">
      <c r="A20" s="85" t="s">
        <v>298</v>
      </c>
      <c r="B20" s="86" t="s">
        <v>14</v>
      </c>
      <c r="C20" s="88">
        <v>5236</v>
      </c>
    </row>
    <row r="21" spans="1:3" x14ac:dyDescent="0.25">
      <c r="A21" s="85" t="s">
        <v>260</v>
      </c>
      <c r="B21" s="86" t="s">
        <v>14</v>
      </c>
      <c r="C21" s="87">
        <v>130</v>
      </c>
    </row>
    <row r="22" spans="1:3" x14ac:dyDescent="0.25">
      <c r="A22" s="85" t="s">
        <v>290</v>
      </c>
      <c r="B22" s="86" t="s">
        <v>185</v>
      </c>
      <c r="C22" s="87">
        <v>191.63</v>
      </c>
    </row>
    <row r="23" spans="1:3" x14ac:dyDescent="0.25">
      <c r="A23" s="85" t="s">
        <v>263</v>
      </c>
      <c r="B23" s="86" t="s">
        <v>185</v>
      </c>
      <c r="C23" s="87">
        <v>31.65</v>
      </c>
    </row>
    <row r="24" spans="1:3" x14ac:dyDescent="0.25">
      <c r="A24" s="85" t="s">
        <v>264</v>
      </c>
      <c r="B24" s="86" t="s">
        <v>185</v>
      </c>
      <c r="C24" s="87">
        <v>45.85</v>
      </c>
    </row>
    <row r="25" spans="1:3" x14ac:dyDescent="0.25">
      <c r="A25" s="85" t="s">
        <v>265</v>
      </c>
      <c r="B25" s="86" t="s">
        <v>185</v>
      </c>
      <c r="C25" s="87">
        <v>81.599999999999994</v>
      </c>
    </row>
    <row r="26" spans="1:3" x14ac:dyDescent="0.25">
      <c r="A26" s="85" t="s">
        <v>301</v>
      </c>
      <c r="B26" s="86" t="s">
        <v>185</v>
      </c>
      <c r="C26" s="87">
        <v>45.73</v>
      </c>
    </row>
    <row r="27" spans="1:3" x14ac:dyDescent="0.25">
      <c r="A27" s="85" t="s">
        <v>302</v>
      </c>
      <c r="B27" s="86" t="s">
        <v>185</v>
      </c>
      <c r="C27" s="87">
        <v>65.5</v>
      </c>
    </row>
    <row r="28" spans="1:3" x14ac:dyDescent="0.25">
      <c r="A28" s="85" t="s">
        <v>303</v>
      </c>
      <c r="B28" s="86" t="s">
        <v>185</v>
      </c>
      <c r="C28" s="87">
        <v>86.83</v>
      </c>
    </row>
    <row r="29" spans="1:3" x14ac:dyDescent="0.25">
      <c r="A29" s="85" t="s">
        <v>304</v>
      </c>
      <c r="B29" s="86" t="s">
        <v>185</v>
      </c>
      <c r="C29" s="87">
        <v>99.88</v>
      </c>
    </row>
    <row r="30" spans="1:3" x14ac:dyDescent="0.25">
      <c r="A30" s="85" t="s">
        <v>305</v>
      </c>
      <c r="B30" s="86" t="s">
        <v>185</v>
      </c>
      <c r="C30" s="87">
        <v>127.17</v>
      </c>
    </row>
    <row r="31" spans="1:3" x14ac:dyDescent="0.25">
      <c r="A31" s="85" t="s">
        <v>306</v>
      </c>
      <c r="B31" s="86" t="s">
        <v>185</v>
      </c>
      <c r="C31" s="87">
        <v>152.71</v>
      </c>
    </row>
    <row r="32" spans="1:3" x14ac:dyDescent="0.25">
      <c r="A32" s="85" t="s">
        <v>266</v>
      </c>
      <c r="B32" s="86" t="s">
        <v>14</v>
      </c>
      <c r="C32" s="88">
        <v>1432</v>
      </c>
    </row>
    <row r="33" spans="1:3" x14ac:dyDescent="0.25">
      <c r="A33" s="85" t="s">
        <v>267</v>
      </c>
      <c r="B33" s="86" t="s">
        <v>268</v>
      </c>
      <c r="C33" s="88">
        <v>2564</v>
      </c>
    </row>
    <row r="34" spans="1:3" x14ac:dyDescent="0.25">
      <c r="A34" s="85" t="s">
        <v>269</v>
      </c>
      <c r="B34" s="86" t="s">
        <v>14</v>
      </c>
      <c r="C34" s="87">
        <v>792</v>
      </c>
    </row>
    <row r="35" spans="1:3" x14ac:dyDescent="0.25">
      <c r="A35" s="85" t="s">
        <v>272</v>
      </c>
      <c r="B35" s="86" t="s">
        <v>185</v>
      </c>
      <c r="C35" s="87">
        <v>114</v>
      </c>
    </row>
    <row r="36" spans="1:3" x14ac:dyDescent="0.25">
      <c r="A36" s="85" t="s">
        <v>273</v>
      </c>
      <c r="B36" s="86" t="s">
        <v>185</v>
      </c>
      <c r="C36" s="87">
        <v>14.95</v>
      </c>
    </row>
    <row r="37" spans="1:3" x14ac:dyDescent="0.25">
      <c r="A37" s="85" t="s">
        <v>274</v>
      </c>
      <c r="B37" s="86" t="s">
        <v>185</v>
      </c>
      <c r="C37" s="87">
        <v>17.95</v>
      </c>
    </row>
    <row r="38" spans="1:3" x14ac:dyDescent="0.25">
      <c r="A38" s="85" t="s">
        <v>275</v>
      </c>
      <c r="B38" s="86" t="s">
        <v>185</v>
      </c>
      <c r="C38" s="87">
        <v>22.55</v>
      </c>
    </row>
    <row r="39" spans="1:3" x14ac:dyDescent="0.25">
      <c r="A39" s="85" t="s">
        <v>276</v>
      </c>
      <c r="B39" s="86" t="s">
        <v>185</v>
      </c>
      <c r="C39" s="87">
        <v>28.6</v>
      </c>
    </row>
    <row r="40" spans="1:3" x14ac:dyDescent="0.25">
      <c r="A40" s="85" t="s">
        <v>277</v>
      </c>
      <c r="B40" s="86" t="s">
        <v>185</v>
      </c>
      <c r="C40" s="87">
        <v>33.5</v>
      </c>
    </row>
    <row r="41" spans="1:3" x14ac:dyDescent="0.25">
      <c r="A41" s="85" t="s">
        <v>278</v>
      </c>
      <c r="B41" s="86" t="s">
        <v>185</v>
      </c>
      <c r="C41" s="87">
        <v>46.55</v>
      </c>
    </row>
    <row r="42" spans="1:3" x14ac:dyDescent="0.25">
      <c r="A42" s="85" t="s">
        <v>279</v>
      </c>
      <c r="B42" s="86" t="s">
        <v>185</v>
      </c>
      <c r="C42" s="87">
        <v>63.05</v>
      </c>
    </row>
    <row r="43" spans="1:3" x14ac:dyDescent="0.25">
      <c r="A43" s="85" t="s">
        <v>280</v>
      </c>
      <c r="B43" s="86" t="s">
        <v>185</v>
      </c>
      <c r="C43" s="87">
        <v>97.75</v>
      </c>
    </row>
    <row r="44" spans="1:3" x14ac:dyDescent="0.25">
      <c r="A44" s="85" t="s">
        <v>281</v>
      </c>
      <c r="B44" s="86" t="s">
        <v>185</v>
      </c>
      <c r="C44" s="87">
        <v>122.5</v>
      </c>
    </row>
    <row r="45" spans="1:3" x14ac:dyDescent="0.25">
      <c r="A45" s="85" t="s">
        <v>282</v>
      </c>
      <c r="B45" s="86" t="s">
        <v>185</v>
      </c>
      <c r="C45" s="87">
        <v>136</v>
      </c>
    </row>
    <row r="46" spans="1:3" x14ac:dyDescent="0.25">
      <c r="A46" s="85" t="s">
        <v>283</v>
      </c>
      <c r="B46" s="86" t="s">
        <v>185</v>
      </c>
      <c r="C46" s="87">
        <v>160.5</v>
      </c>
    </row>
    <row r="47" spans="1:3" x14ac:dyDescent="0.25">
      <c r="A47" s="85" t="s">
        <v>270</v>
      </c>
      <c r="B47" s="86" t="s">
        <v>185</v>
      </c>
      <c r="C47" s="87">
        <v>255.63</v>
      </c>
    </row>
    <row r="48" spans="1:3" x14ac:dyDescent="0.25">
      <c r="A48" s="85" t="s">
        <v>293</v>
      </c>
      <c r="B48" s="86" t="s">
        <v>14</v>
      </c>
      <c r="C48" s="87">
        <v>912.5</v>
      </c>
    </row>
    <row r="49" spans="1:8" x14ac:dyDescent="0.25">
      <c r="A49" s="85" t="s">
        <v>292</v>
      </c>
      <c r="B49" s="86" t="s">
        <v>14</v>
      </c>
      <c r="C49" s="88">
        <v>2712.5</v>
      </c>
    </row>
    <row r="50" spans="1:8" x14ac:dyDescent="0.25">
      <c r="A50" s="75"/>
      <c r="B50" s="66"/>
      <c r="C50" s="67"/>
    </row>
    <row r="51" spans="1:8" x14ac:dyDescent="0.25">
      <c r="A51" s="75"/>
      <c r="B51" s="66"/>
      <c r="C51" s="67"/>
    </row>
    <row r="52" spans="1:8" x14ac:dyDescent="0.25">
      <c r="A52" s="75"/>
      <c r="B52" s="66"/>
      <c r="C52" s="67"/>
    </row>
    <row r="53" spans="1:8" x14ac:dyDescent="0.25">
      <c r="A53" s="75"/>
      <c r="B53" s="66"/>
      <c r="C53" s="67"/>
    </row>
    <row r="54" spans="1:8" x14ac:dyDescent="0.25">
      <c r="A54" s="75"/>
      <c r="B54" s="66"/>
      <c r="C54" s="67"/>
    </row>
    <row r="55" spans="1:8" x14ac:dyDescent="0.25">
      <c r="A55" s="75"/>
      <c r="B55" s="66"/>
      <c r="C55" s="67"/>
    </row>
    <row r="56" spans="1:8" x14ac:dyDescent="0.25">
      <c r="A56" s="75"/>
      <c r="B56" s="66"/>
      <c r="C56" s="67"/>
    </row>
    <row r="57" spans="1:8" x14ac:dyDescent="0.25">
      <c r="A57" s="75"/>
      <c r="B57" s="66"/>
      <c r="C57" s="67"/>
    </row>
    <row r="58" spans="1:8" x14ac:dyDescent="0.25">
      <c r="A58" s="75"/>
      <c r="B58" s="66"/>
      <c r="C58" s="67"/>
    </row>
    <row r="59" spans="1:8" ht="16.5" customHeight="1" x14ac:dyDescent="0.25">
      <c r="A59" s="75"/>
      <c r="B59" s="66"/>
      <c r="C59" s="67"/>
    </row>
    <row r="60" spans="1:8" ht="16.5" customHeight="1" x14ac:dyDescent="0.25">
      <c r="A60" s="75"/>
      <c r="B60" s="66"/>
      <c r="C60" s="67"/>
    </row>
    <row r="61" spans="1:8" x14ac:dyDescent="0.25">
      <c r="A61" s="75"/>
      <c r="B61" s="66"/>
      <c r="C61" s="67"/>
    </row>
    <row r="62" spans="1:8" x14ac:dyDescent="0.25">
      <c r="A62" s="79"/>
      <c r="B62" s="80"/>
      <c r="C62" s="89"/>
    </row>
    <row r="63" spans="1:8" ht="29.25" customHeight="1" x14ac:dyDescent="0.25">
      <c r="A63" s="79"/>
      <c r="B63" s="80"/>
      <c r="C63" s="89"/>
    </row>
    <row r="64" spans="1:8" x14ac:dyDescent="0.25">
      <c r="A64" s="75"/>
      <c r="B64" s="66"/>
      <c r="C64" s="67"/>
      <c r="H64" t="s">
        <v>49</v>
      </c>
    </row>
    <row r="65" spans="1:3" x14ac:dyDescent="0.25">
      <c r="A65" s="75"/>
      <c r="B65" s="66"/>
      <c r="C65" s="67"/>
    </row>
    <row r="66" spans="1:3" x14ac:dyDescent="0.25">
      <c r="A66" s="75"/>
      <c r="B66" s="66"/>
      <c r="C66" s="67"/>
    </row>
    <row r="67" spans="1:3" x14ac:dyDescent="0.25">
      <c r="A67" s="75"/>
      <c r="B67" s="66"/>
      <c r="C67" s="67"/>
    </row>
    <row r="68" spans="1:3" x14ac:dyDescent="0.25">
      <c r="A68" s="75"/>
      <c r="B68" s="66"/>
      <c r="C68" s="67"/>
    </row>
    <row r="69" spans="1:3" x14ac:dyDescent="0.25">
      <c r="A69" s="75"/>
      <c r="B69" s="66"/>
      <c r="C69" s="67"/>
    </row>
    <row r="70" spans="1:3" x14ac:dyDescent="0.25">
      <c r="A70" s="75"/>
      <c r="B70" s="66"/>
      <c r="C70" s="67"/>
    </row>
    <row r="71" spans="1:3" x14ac:dyDescent="0.25">
      <c r="A71" s="75"/>
      <c r="B71" s="66"/>
      <c r="C71" s="67"/>
    </row>
    <row r="72" spans="1:3" x14ac:dyDescent="0.25">
      <c r="A72" s="82"/>
      <c r="B72" s="83"/>
      <c r="C72" s="67"/>
    </row>
    <row r="73" spans="1:3" x14ac:dyDescent="0.25">
      <c r="A73" s="82"/>
      <c r="B73" s="83"/>
      <c r="C73" s="67"/>
    </row>
    <row r="74" spans="1:3" x14ac:dyDescent="0.25">
      <c r="A74" s="82"/>
      <c r="B74" s="83"/>
      <c r="C74" s="67"/>
    </row>
    <row r="75" spans="1:3" x14ac:dyDescent="0.25">
      <c r="A75" s="82"/>
      <c r="B75" s="83"/>
      <c r="C75" s="67"/>
    </row>
    <row r="76" spans="1:3" x14ac:dyDescent="0.25">
      <c r="A76" s="82"/>
      <c r="B76" s="83"/>
      <c r="C76" s="67"/>
    </row>
    <row r="77" spans="1:3" x14ac:dyDescent="0.25">
      <c r="A77" s="82"/>
      <c r="B77" s="83"/>
      <c r="C77" s="67"/>
    </row>
    <row r="78" spans="1:3" x14ac:dyDescent="0.25">
      <c r="A78" s="84"/>
      <c r="B78" s="83"/>
      <c r="C78" s="67"/>
    </row>
    <row r="79" spans="1:3" x14ac:dyDescent="0.25">
      <c r="A79" s="84"/>
      <c r="B79" s="83"/>
      <c r="C79" s="67"/>
    </row>
    <row r="80" spans="1:3" x14ac:dyDescent="0.25">
      <c r="B80" s="70"/>
    </row>
    <row r="81" spans="2:2" x14ac:dyDescent="0.25">
      <c r="B81" s="70"/>
    </row>
    <row r="82" spans="2:2" x14ac:dyDescent="0.25">
      <c r="B82" s="70"/>
    </row>
    <row r="83" spans="2:2" x14ac:dyDescent="0.25">
      <c r="B83" s="70"/>
    </row>
    <row r="84" spans="2:2" x14ac:dyDescent="0.25">
      <c r="B84" s="70"/>
    </row>
  </sheetData>
  <sortState ref="A2:C84">
    <sortCondition ref="A1"/>
  </sortState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>
      <selection sqref="A1:XFD1"/>
    </sheetView>
  </sheetViews>
  <sheetFormatPr defaultRowHeight="15" x14ac:dyDescent="0.25"/>
  <cols>
    <col min="1" max="1" width="60.28515625" customWidth="1"/>
    <col min="2" max="2" width="15" style="2" customWidth="1"/>
    <col min="3" max="3" width="15" customWidth="1"/>
  </cols>
  <sheetData>
    <row r="1" spans="1:3" x14ac:dyDescent="0.25">
      <c r="A1" s="4" t="s">
        <v>87</v>
      </c>
      <c r="B1" s="9" t="s">
        <v>87</v>
      </c>
      <c r="C1" s="7">
        <v>0</v>
      </c>
    </row>
    <row r="2" spans="1:3" x14ac:dyDescent="0.25">
      <c r="A2" s="4"/>
      <c r="B2" s="9"/>
      <c r="C2" s="7"/>
    </row>
    <row r="3" spans="1:3" x14ac:dyDescent="0.25">
      <c r="A3" s="4"/>
      <c r="B3" s="9"/>
      <c r="C3" s="7"/>
    </row>
    <row r="4" spans="1:3" x14ac:dyDescent="0.25">
      <c r="A4" s="4"/>
      <c r="B4" s="9"/>
      <c r="C4" s="7"/>
    </row>
    <row r="5" spans="1:3" x14ac:dyDescent="0.25">
      <c r="A5" s="13"/>
      <c r="B5" s="14"/>
      <c r="C5" s="16"/>
    </row>
    <row r="6" spans="1:3" x14ac:dyDescent="0.25">
      <c r="A6" s="18"/>
      <c r="B6" s="19"/>
      <c r="C6" s="16"/>
    </row>
    <row r="7" spans="1:3" x14ac:dyDescent="0.25">
      <c r="A7" s="4"/>
      <c r="B7" s="9"/>
      <c r="C7" s="16"/>
    </row>
    <row r="8" spans="1:3" x14ac:dyDescent="0.25">
      <c r="A8" s="13"/>
      <c r="B8" s="14"/>
      <c r="C8" s="16"/>
    </row>
    <row r="9" spans="1:3" x14ac:dyDescent="0.25">
      <c r="A9" s="4"/>
      <c r="B9" s="9"/>
      <c r="C9" s="7"/>
    </row>
    <row r="10" spans="1:3" x14ac:dyDescent="0.25">
      <c r="A10" s="13"/>
      <c r="B10" s="14"/>
      <c r="C10" s="16"/>
    </row>
    <row r="11" spans="1:3" x14ac:dyDescent="0.25">
      <c r="A11" s="4"/>
      <c r="B11" s="9"/>
      <c r="C11" s="16"/>
    </row>
    <row r="12" spans="1:3" x14ac:dyDescent="0.25">
      <c r="A12" s="13"/>
      <c r="B12" s="14"/>
      <c r="C12" s="16"/>
    </row>
    <row r="13" spans="1:3" x14ac:dyDescent="0.25">
      <c r="A13" s="4"/>
      <c r="B13" s="9"/>
      <c r="C13" s="7"/>
    </row>
    <row r="14" spans="1:3" x14ac:dyDescent="0.25">
      <c r="A14" s="4"/>
      <c r="B14" s="9"/>
      <c r="C14" s="7"/>
    </row>
    <row r="15" spans="1:3" x14ac:dyDescent="0.25">
      <c r="A15" s="4"/>
      <c r="B15" s="9"/>
      <c r="C15" s="7"/>
    </row>
    <row r="16" spans="1:3" x14ac:dyDescent="0.25">
      <c r="A16" s="4"/>
      <c r="B16" s="9"/>
      <c r="C16" s="7"/>
    </row>
    <row r="17" spans="1:3" x14ac:dyDescent="0.25">
      <c r="A17" s="4"/>
      <c r="B17" s="9"/>
      <c r="C17" s="7"/>
    </row>
    <row r="18" spans="1:3" x14ac:dyDescent="0.25">
      <c r="A18" s="4"/>
      <c r="B18" s="9"/>
      <c r="C18" s="7"/>
    </row>
    <row r="19" spans="1:3" x14ac:dyDescent="0.25">
      <c r="A19" s="4"/>
      <c r="B19" s="9"/>
      <c r="C19" s="7"/>
    </row>
    <row r="20" spans="1:3" x14ac:dyDescent="0.25">
      <c r="A20" s="4"/>
      <c r="B20" s="9"/>
      <c r="C20" s="7"/>
    </row>
    <row r="21" spans="1:3" x14ac:dyDescent="0.25">
      <c r="A21" s="4"/>
      <c r="B21" s="14"/>
      <c r="C21" s="16"/>
    </row>
    <row r="22" spans="1:3" x14ac:dyDescent="0.25">
      <c r="A22" s="4"/>
      <c r="B22" s="9"/>
      <c r="C22" s="7"/>
    </row>
    <row r="23" spans="1:3" x14ac:dyDescent="0.25">
      <c r="A23" s="4"/>
      <c r="B23" s="9"/>
      <c r="C23" s="7"/>
    </row>
    <row r="24" spans="1:3" x14ac:dyDescent="0.25">
      <c r="A24" s="4"/>
      <c r="B24" s="9"/>
      <c r="C24" s="7"/>
    </row>
    <row r="25" spans="1:3" x14ac:dyDescent="0.25">
      <c r="A25" s="4"/>
      <c r="B25" s="9"/>
      <c r="C25" s="7"/>
    </row>
    <row r="26" spans="1:3" x14ac:dyDescent="0.25">
      <c r="A26" s="4"/>
      <c r="B26" s="9"/>
      <c r="C26" s="7"/>
    </row>
    <row r="27" spans="1:3" x14ac:dyDescent="0.25">
      <c r="A27" s="4"/>
      <c r="B27" s="9"/>
      <c r="C27" s="7"/>
    </row>
    <row r="28" spans="1:3" x14ac:dyDescent="0.25">
      <c r="A28" s="4"/>
      <c r="B28" s="9"/>
      <c r="C28" s="7"/>
    </row>
    <row r="29" spans="1:3" x14ac:dyDescent="0.25">
      <c r="A29" s="4"/>
      <c r="B29" s="9"/>
      <c r="C29" s="7"/>
    </row>
    <row r="30" spans="1:3" x14ac:dyDescent="0.25">
      <c r="A30" s="4"/>
      <c r="B30" s="9"/>
      <c r="C30" s="7"/>
    </row>
    <row r="31" spans="1:3" x14ac:dyDescent="0.25">
      <c r="A31" s="4"/>
      <c r="B31" s="9"/>
      <c r="C31" s="7"/>
    </row>
    <row r="32" spans="1:3" x14ac:dyDescent="0.25">
      <c r="A32" s="4"/>
      <c r="B32" s="9"/>
      <c r="C32" s="7"/>
    </row>
    <row r="33" spans="1:8" x14ac:dyDescent="0.25">
      <c r="A33" s="4"/>
      <c r="B33" s="9"/>
      <c r="C33" s="7"/>
    </row>
    <row r="34" spans="1:8" x14ac:dyDescent="0.25">
      <c r="A34" s="4"/>
      <c r="B34" s="9"/>
      <c r="C34" s="7"/>
    </row>
    <row r="35" spans="1:8" x14ac:dyDescent="0.25">
      <c r="A35" s="4"/>
      <c r="B35" s="9"/>
      <c r="C35" s="7"/>
    </row>
    <row r="36" spans="1:8" ht="16.5" customHeight="1" x14ac:dyDescent="0.25">
      <c r="A36" s="4"/>
      <c r="B36" s="9"/>
      <c r="C36" s="7"/>
    </row>
    <row r="37" spans="1:8" ht="16.5" customHeight="1" x14ac:dyDescent="0.25">
      <c r="A37" s="4"/>
      <c r="B37" s="9"/>
      <c r="C37" s="7"/>
    </row>
    <row r="38" spans="1:8" x14ac:dyDescent="0.25">
      <c r="A38" s="47"/>
      <c r="B38" s="48"/>
      <c r="C38" s="49"/>
    </row>
    <row r="39" spans="1:8" x14ac:dyDescent="0.25">
      <c r="A39" s="47"/>
      <c r="B39" s="48"/>
      <c r="C39" s="49"/>
    </row>
    <row r="40" spans="1:8" ht="29.25" customHeight="1" x14ac:dyDescent="0.25">
      <c r="A40" s="4"/>
      <c r="B40" s="9"/>
      <c r="C40" s="7"/>
    </row>
    <row r="41" spans="1:8" x14ac:dyDescent="0.25">
      <c r="A41" s="4"/>
      <c r="B41" s="9"/>
      <c r="C41" s="7"/>
      <c r="H41" t="s">
        <v>49</v>
      </c>
    </row>
    <row r="42" spans="1:8" x14ac:dyDescent="0.25">
      <c r="A42" s="4"/>
      <c r="B42" s="9"/>
      <c r="C42" s="7"/>
    </row>
    <row r="43" spans="1:8" x14ac:dyDescent="0.25">
      <c r="A43" s="4"/>
      <c r="B43" s="9"/>
      <c r="C43" s="7"/>
    </row>
    <row r="44" spans="1:8" x14ac:dyDescent="0.25">
      <c r="A44" s="4"/>
      <c r="B44" s="9"/>
      <c r="C44" s="7"/>
    </row>
    <row r="45" spans="1:8" x14ac:dyDescent="0.25">
      <c r="A45" s="4"/>
      <c r="B45" s="9"/>
      <c r="C45" s="7"/>
    </row>
    <row r="46" spans="1:8" x14ac:dyDescent="0.25">
      <c r="A46" s="4"/>
      <c r="B46" s="9"/>
      <c r="C46" s="7"/>
    </row>
    <row r="47" spans="1:8" x14ac:dyDescent="0.25">
      <c r="A47" s="4"/>
      <c r="B47" s="9"/>
      <c r="C47" s="7"/>
    </row>
    <row r="48" spans="1:8" ht="15.75" x14ac:dyDescent="0.25">
      <c r="A48" s="20"/>
      <c r="B48" s="21"/>
      <c r="C48" s="7"/>
    </row>
    <row r="49" spans="1:3" ht="15.75" x14ac:dyDescent="0.25">
      <c r="A49" s="20"/>
      <c r="B49" s="21"/>
      <c r="C49" s="7"/>
    </row>
    <row r="50" spans="1:3" ht="15.75" x14ac:dyDescent="0.25">
      <c r="A50" s="20"/>
      <c r="B50" s="21"/>
      <c r="C50" s="7"/>
    </row>
    <row r="51" spans="1:3" ht="15.75" x14ac:dyDescent="0.25">
      <c r="A51" s="20"/>
      <c r="B51" s="21"/>
      <c r="C51" s="7"/>
    </row>
    <row r="52" spans="1:3" ht="15.75" x14ac:dyDescent="0.25">
      <c r="A52" s="20"/>
      <c r="B52" s="21"/>
      <c r="C52" s="7"/>
    </row>
    <row r="53" spans="1:3" ht="15.75" x14ac:dyDescent="0.25">
      <c r="A53" s="20"/>
      <c r="B53" s="21"/>
      <c r="C53" s="7"/>
    </row>
    <row r="54" spans="1:3" ht="15.75" x14ac:dyDescent="0.25">
      <c r="A54" s="22"/>
      <c r="B54" s="21"/>
      <c r="C54" s="7"/>
    </row>
    <row r="55" spans="1:3" ht="15.75" x14ac:dyDescent="0.25">
      <c r="A55" s="22"/>
      <c r="B55" s="21"/>
      <c r="C55" s="7"/>
    </row>
    <row r="56" spans="1:3" x14ac:dyDescent="0.25">
      <c r="B56"/>
    </row>
    <row r="57" spans="1:3" x14ac:dyDescent="0.25">
      <c r="B57"/>
    </row>
    <row r="58" spans="1:3" x14ac:dyDescent="0.25">
      <c r="B58"/>
    </row>
    <row r="59" spans="1:3" x14ac:dyDescent="0.25">
      <c r="B59"/>
    </row>
    <row r="60" spans="1:3" x14ac:dyDescent="0.25">
      <c r="B60"/>
    </row>
  </sheetData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selection activeCell="R2" sqref="R2"/>
    </sheetView>
  </sheetViews>
  <sheetFormatPr defaultRowHeight="15" x14ac:dyDescent="0.25"/>
  <cols>
    <col min="1" max="1" width="60.28515625" style="90" customWidth="1"/>
    <col min="2" max="2" width="15" style="91" customWidth="1"/>
    <col min="3" max="3" width="15" style="92" customWidth="1"/>
  </cols>
  <sheetData>
    <row r="1" spans="1:3" x14ac:dyDescent="0.25">
      <c r="A1" s="4" t="s">
        <v>87</v>
      </c>
      <c r="B1" s="9" t="s">
        <v>87</v>
      </c>
      <c r="C1" s="67">
        <v>0</v>
      </c>
    </row>
    <row r="2" spans="1:3" ht="25.5" x14ac:dyDescent="0.25">
      <c r="A2" s="76" t="s">
        <v>138</v>
      </c>
      <c r="B2" s="68" t="s">
        <v>14</v>
      </c>
      <c r="C2" s="67">
        <v>13340</v>
      </c>
    </row>
    <row r="3" spans="1:3" ht="25.5" x14ac:dyDescent="0.25">
      <c r="A3" s="76" t="s">
        <v>182</v>
      </c>
      <c r="B3" s="68" t="s">
        <v>14</v>
      </c>
      <c r="C3" s="67">
        <v>27500</v>
      </c>
    </row>
    <row r="4" spans="1:3" x14ac:dyDescent="0.25">
      <c r="A4" s="76" t="s">
        <v>168</v>
      </c>
      <c r="B4" s="68" t="s">
        <v>14</v>
      </c>
      <c r="C4" s="67">
        <v>51</v>
      </c>
    </row>
    <row r="5" spans="1:3" ht="25.5" x14ac:dyDescent="0.25">
      <c r="A5" s="76" t="s">
        <v>162</v>
      </c>
      <c r="B5" s="68" t="s">
        <v>14</v>
      </c>
      <c r="C5" s="67">
        <v>1150</v>
      </c>
    </row>
    <row r="6" spans="1:3" x14ac:dyDescent="0.25">
      <c r="A6" s="76" t="s">
        <v>143</v>
      </c>
      <c r="B6" s="68" t="s">
        <v>14</v>
      </c>
      <c r="C6" s="67">
        <v>1150</v>
      </c>
    </row>
    <row r="7" spans="1:3" x14ac:dyDescent="0.25">
      <c r="A7" s="76" t="s">
        <v>174</v>
      </c>
      <c r="B7" s="68" t="s">
        <v>14</v>
      </c>
      <c r="C7" s="67">
        <v>1650</v>
      </c>
    </row>
    <row r="8" spans="1:3" x14ac:dyDescent="0.25">
      <c r="A8" s="76" t="s">
        <v>184</v>
      </c>
      <c r="B8" s="68" t="s">
        <v>14</v>
      </c>
      <c r="C8" s="67">
        <v>1650</v>
      </c>
    </row>
    <row r="9" spans="1:3" x14ac:dyDescent="0.25">
      <c r="A9" s="76" t="s">
        <v>164</v>
      </c>
      <c r="B9" s="68" t="s">
        <v>14</v>
      </c>
      <c r="C9" s="67">
        <v>2875</v>
      </c>
    </row>
    <row r="10" spans="1:3" ht="38.25" x14ac:dyDescent="0.25">
      <c r="A10" s="76" t="s">
        <v>142</v>
      </c>
      <c r="B10" s="68" t="s">
        <v>14</v>
      </c>
      <c r="C10" s="67">
        <v>54625</v>
      </c>
    </row>
    <row r="11" spans="1:3" x14ac:dyDescent="0.25">
      <c r="A11" s="76" t="s">
        <v>170</v>
      </c>
      <c r="B11" s="68" t="s">
        <v>14</v>
      </c>
      <c r="C11" s="67">
        <v>46</v>
      </c>
    </row>
    <row r="12" spans="1:3" x14ac:dyDescent="0.25">
      <c r="A12" s="76" t="s">
        <v>181</v>
      </c>
      <c r="B12" s="68" t="s">
        <v>14</v>
      </c>
      <c r="C12" s="67">
        <v>8800</v>
      </c>
    </row>
    <row r="13" spans="1:3" x14ac:dyDescent="0.25">
      <c r="A13" s="76" t="s">
        <v>173</v>
      </c>
      <c r="B13" s="68" t="s">
        <v>14</v>
      </c>
      <c r="C13" s="67">
        <v>5500</v>
      </c>
    </row>
    <row r="14" spans="1:3" x14ac:dyDescent="0.25">
      <c r="A14" s="76" t="s">
        <v>161</v>
      </c>
      <c r="B14" s="68" t="s">
        <v>185</v>
      </c>
      <c r="C14" s="67">
        <v>37</v>
      </c>
    </row>
    <row r="15" spans="1:3" ht="25.5" x14ac:dyDescent="0.25">
      <c r="A15" s="76" t="s">
        <v>152</v>
      </c>
      <c r="B15" s="68" t="s">
        <v>14</v>
      </c>
      <c r="C15" s="67">
        <v>6375</v>
      </c>
    </row>
    <row r="16" spans="1:3" ht="25.5" x14ac:dyDescent="0.25">
      <c r="A16" s="76" t="s">
        <v>186</v>
      </c>
      <c r="B16" s="68" t="s">
        <v>14</v>
      </c>
      <c r="C16" s="67">
        <v>1210</v>
      </c>
    </row>
    <row r="17" spans="1:3" x14ac:dyDescent="0.25">
      <c r="A17" s="76" t="s">
        <v>153</v>
      </c>
      <c r="B17" s="68" t="s">
        <v>14</v>
      </c>
      <c r="C17" s="67">
        <v>23983</v>
      </c>
    </row>
    <row r="18" spans="1:3" x14ac:dyDescent="0.25">
      <c r="A18" s="76" t="s">
        <v>154</v>
      </c>
      <c r="B18" s="68" t="s">
        <v>14</v>
      </c>
      <c r="C18" s="67">
        <v>23983</v>
      </c>
    </row>
    <row r="19" spans="1:3" x14ac:dyDescent="0.25">
      <c r="A19" s="76" t="s">
        <v>155</v>
      </c>
      <c r="B19" s="68" t="s">
        <v>14</v>
      </c>
      <c r="C19" s="67">
        <v>3887</v>
      </c>
    </row>
    <row r="20" spans="1:3" ht="25.5" x14ac:dyDescent="0.25">
      <c r="A20" s="76" t="s">
        <v>176</v>
      </c>
      <c r="B20" s="68" t="s">
        <v>14</v>
      </c>
      <c r="C20" s="67">
        <v>1100</v>
      </c>
    </row>
    <row r="21" spans="1:3" ht="25.5" x14ac:dyDescent="0.25">
      <c r="A21" s="76" t="s">
        <v>139</v>
      </c>
      <c r="B21" s="68" t="s">
        <v>14</v>
      </c>
      <c r="C21" s="67">
        <v>22080</v>
      </c>
    </row>
    <row r="22" spans="1:3" ht="25.5" x14ac:dyDescent="0.25">
      <c r="A22" s="76" t="s">
        <v>183</v>
      </c>
      <c r="B22" s="68" t="s">
        <v>14</v>
      </c>
      <c r="C22" s="67">
        <v>990</v>
      </c>
    </row>
    <row r="23" spans="1:3" x14ac:dyDescent="0.25">
      <c r="A23" s="76" t="s">
        <v>172</v>
      </c>
      <c r="B23" s="68" t="s">
        <v>14</v>
      </c>
      <c r="C23" s="67">
        <v>110</v>
      </c>
    </row>
    <row r="24" spans="1:3" x14ac:dyDescent="0.25">
      <c r="A24" s="76" t="s">
        <v>179</v>
      </c>
      <c r="B24" s="68" t="s">
        <v>14</v>
      </c>
      <c r="C24" s="67">
        <v>13200</v>
      </c>
    </row>
    <row r="25" spans="1:3" x14ac:dyDescent="0.25">
      <c r="A25" s="76" t="s">
        <v>145</v>
      </c>
      <c r="B25" s="68" t="s">
        <v>14</v>
      </c>
      <c r="C25" s="67">
        <v>4620</v>
      </c>
    </row>
    <row r="26" spans="1:3" x14ac:dyDescent="0.25">
      <c r="A26" s="76" t="s">
        <v>144</v>
      </c>
      <c r="B26" s="68" t="s">
        <v>14</v>
      </c>
      <c r="C26" s="67">
        <v>4400</v>
      </c>
    </row>
    <row r="27" spans="1:3" x14ac:dyDescent="0.25">
      <c r="A27" s="76" t="s">
        <v>175</v>
      </c>
      <c r="B27" s="68" t="s">
        <v>14</v>
      </c>
      <c r="C27" s="67">
        <v>11000</v>
      </c>
    </row>
    <row r="28" spans="1:3" x14ac:dyDescent="0.25">
      <c r="A28" s="76" t="s">
        <v>169</v>
      </c>
      <c r="B28" s="68" t="s">
        <v>14</v>
      </c>
      <c r="C28" s="67">
        <v>2645</v>
      </c>
    </row>
    <row r="29" spans="1:3" x14ac:dyDescent="0.25">
      <c r="A29" s="76" t="s">
        <v>156</v>
      </c>
      <c r="B29" s="68" t="s">
        <v>14</v>
      </c>
      <c r="C29" s="67">
        <v>1024</v>
      </c>
    </row>
    <row r="30" spans="1:3" x14ac:dyDescent="0.25">
      <c r="A30" s="76" t="s">
        <v>157</v>
      </c>
      <c r="B30" s="68" t="s">
        <v>14</v>
      </c>
      <c r="C30" s="67">
        <v>6750</v>
      </c>
    </row>
    <row r="31" spans="1:3" x14ac:dyDescent="0.25">
      <c r="A31" s="76" t="s">
        <v>158</v>
      </c>
      <c r="B31" s="68" t="s">
        <v>14</v>
      </c>
      <c r="C31" s="67">
        <v>1024</v>
      </c>
    </row>
    <row r="32" spans="1:3" ht="25.5" x14ac:dyDescent="0.25">
      <c r="A32" s="76" t="s">
        <v>140</v>
      </c>
      <c r="B32" s="68" t="s">
        <v>14</v>
      </c>
      <c r="C32" s="67">
        <v>632</v>
      </c>
    </row>
    <row r="33" spans="1:8" x14ac:dyDescent="0.25">
      <c r="A33" s="76" t="s">
        <v>166</v>
      </c>
      <c r="B33" s="68" t="s">
        <v>14</v>
      </c>
      <c r="C33" s="67">
        <v>178</v>
      </c>
    </row>
    <row r="34" spans="1:8" x14ac:dyDescent="0.25">
      <c r="A34" s="76" t="s">
        <v>177</v>
      </c>
      <c r="B34" s="68" t="s">
        <v>14</v>
      </c>
      <c r="C34" s="67">
        <v>33000</v>
      </c>
    </row>
    <row r="35" spans="1:8" ht="16.5" customHeight="1" x14ac:dyDescent="0.25">
      <c r="A35" s="76" t="s">
        <v>148</v>
      </c>
      <c r="B35" s="68" t="s">
        <v>14</v>
      </c>
      <c r="C35" s="67">
        <v>3059</v>
      </c>
    </row>
    <row r="36" spans="1:8" ht="16.5" customHeight="1" x14ac:dyDescent="0.25">
      <c r="A36" s="76" t="s">
        <v>163</v>
      </c>
      <c r="B36" s="68" t="s">
        <v>14</v>
      </c>
      <c r="C36" s="67">
        <v>2380</v>
      </c>
    </row>
    <row r="37" spans="1:8" x14ac:dyDescent="0.25">
      <c r="A37" s="76" t="s">
        <v>151</v>
      </c>
      <c r="B37" s="68" t="s">
        <v>14</v>
      </c>
      <c r="C37" s="67">
        <v>2</v>
      </c>
    </row>
    <row r="38" spans="1:8" x14ac:dyDescent="0.25">
      <c r="A38" s="76" t="s">
        <v>171</v>
      </c>
      <c r="B38" s="68" t="s">
        <v>14</v>
      </c>
      <c r="C38" s="67">
        <v>69</v>
      </c>
    </row>
    <row r="39" spans="1:8" ht="29.25" customHeight="1" x14ac:dyDescent="0.25">
      <c r="A39" s="76" t="s">
        <v>159</v>
      </c>
      <c r="B39" s="68" t="s">
        <v>14</v>
      </c>
      <c r="C39" s="67">
        <v>0</v>
      </c>
    </row>
    <row r="40" spans="1:8" x14ac:dyDescent="0.25">
      <c r="A40" s="76" t="s">
        <v>160</v>
      </c>
      <c r="B40" s="68" t="s">
        <v>14</v>
      </c>
      <c r="C40" s="67">
        <v>5365</v>
      </c>
      <c r="H40" t="s">
        <v>49</v>
      </c>
    </row>
    <row r="41" spans="1:8" x14ac:dyDescent="0.25">
      <c r="A41" s="76" t="s">
        <v>149</v>
      </c>
      <c r="B41" s="68" t="s">
        <v>14</v>
      </c>
      <c r="C41" s="67">
        <v>7636</v>
      </c>
    </row>
    <row r="42" spans="1:8" x14ac:dyDescent="0.25">
      <c r="A42" s="76" t="s">
        <v>178</v>
      </c>
      <c r="B42" s="68" t="s">
        <v>14</v>
      </c>
      <c r="C42" s="67">
        <v>11000</v>
      </c>
    </row>
    <row r="43" spans="1:8" ht="38.25" x14ac:dyDescent="0.25">
      <c r="A43" s="76" t="s">
        <v>141</v>
      </c>
      <c r="B43" s="68" t="s">
        <v>14</v>
      </c>
      <c r="C43" s="67">
        <v>20700</v>
      </c>
    </row>
    <row r="44" spans="1:8" x14ac:dyDescent="0.25">
      <c r="A44" s="76" t="s">
        <v>150</v>
      </c>
      <c r="B44" s="68" t="s">
        <v>14</v>
      </c>
      <c r="C44" s="67">
        <v>2049</v>
      </c>
    </row>
    <row r="45" spans="1:8" x14ac:dyDescent="0.25">
      <c r="A45" s="76" t="s">
        <v>146</v>
      </c>
      <c r="B45" s="68" t="s">
        <v>14</v>
      </c>
      <c r="C45" s="67">
        <v>193</v>
      </c>
    </row>
    <row r="46" spans="1:8" x14ac:dyDescent="0.25">
      <c r="A46" s="76" t="s">
        <v>167</v>
      </c>
      <c r="B46" s="68" t="s">
        <v>14</v>
      </c>
      <c r="C46" s="67">
        <v>27140</v>
      </c>
    </row>
    <row r="47" spans="1:8" x14ac:dyDescent="0.25">
      <c r="A47" s="76" t="s">
        <v>180</v>
      </c>
      <c r="B47" s="68" t="s">
        <v>14</v>
      </c>
      <c r="C47" s="67">
        <v>2200</v>
      </c>
    </row>
    <row r="48" spans="1:8" x14ac:dyDescent="0.25">
      <c r="A48" s="76" t="s">
        <v>165</v>
      </c>
      <c r="B48" s="68" t="s">
        <v>14</v>
      </c>
      <c r="C48" s="67">
        <v>143</v>
      </c>
    </row>
    <row r="49" spans="1:3" x14ac:dyDescent="0.25">
      <c r="A49" s="76" t="s">
        <v>147</v>
      </c>
      <c r="B49" s="68" t="s">
        <v>14</v>
      </c>
      <c r="C49" s="67">
        <v>12236</v>
      </c>
    </row>
    <row r="50" spans="1:3" x14ac:dyDescent="0.25">
      <c r="A50" s="76" t="s">
        <v>709</v>
      </c>
      <c r="B50" s="68" t="s">
        <v>14</v>
      </c>
      <c r="C50" s="67">
        <v>2993</v>
      </c>
    </row>
    <row r="51" spans="1:3" x14ac:dyDescent="0.25">
      <c r="A51" s="76" t="s">
        <v>710</v>
      </c>
      <c r="B51" s="68" t="s">
        <v>14</v>
      </c>
      <c r="C51" s="67">
        <v>2348.1999999999998</v>
      </c>
    </row>
    <row r="52" spans="1:3" x14ac:dyDescent="0.25">
      <c r="A52" s="76" t="s">
        <v>711</v>
      </c>
      <c r="B52" s="68" t="s">
        <v>14</v>
      </c>
      <c r="C52" s="67">
        <v>1.4</v>
      </c>
    </row>
    <row r="53" spans="1:3" x14ac:dyDescent="0.25">
      <c r="A53" s="76" t="s">
        <v>712</v>
      </c>
      <c r="B53" s="68" t="s">
        <v>14</v>
      </c>
      <c r="C53" s="67">
        <v>35</v>
      </c>
    </row>
    <row r="54" spans="1:3" x14ac:dyDescent="0.25">
      <c r="A54" s="76" t="s">
        <v>713</v>
      </c>
      <c r="B54" s="68" t="s">
        <v>14</v>
      </c>
      <c r="C54" s="67">
        <v>1230</v>
      </c>
    </row>
    <row r="55" spans="1:3" x14ac:dyDescent="0.25">
      <c r="A55" s="76" t="s">
        <v>714</v>
      </c>
      <c r="B55" s="68" t="s">
        <v>185</v>
      </c>
      <c r="C55" s="67">
        <v>27.49</v>
      </c>
    </row>
    <row r="56" spans="1:3" x14ac:dyDescent="0.25">
      <c r="A56" s="76" t="s">
        <v>715</v>
      </c>
      <c r="B56" s="68" t="s">
        <v>185</v>
      </c>
      <c r="C56" s="67">
        <v>40.58</v>
      </c>
    </row>
    <row r="57" spans="1:3" x14ac:dyDescent="0.25">
      <c r="A57" s="76" t="s">
        <v>716</v>
      </c>
      <c r="B57" s="68" t="s">
        <v>185</v>
      </c>
      <c r="C57" s="67">
        <v>39.74</v>
      </c>
    </row>
    <row r="58" spans="1:3" x14ac:dyDescent="0.25">
      <c r="A58" s="76" t="s">
        <v>717</v>
      </c>
      <c r="B58" s="68" t="s">
        <v>185</v>
      </c>
      <c r="C58" s="67">
        <v>6.25</v>
      </c>
    </row>
    <row r="59" spans="1:3" x14ac:dyDescent="0.25">
      <c r="A59" s="76" t="s">
        <v>718</v>
      </c>
      <c r="B59" s="68" t="s">
        <v>185</v>
      </c>
      <c r="C59" s="67">
        <v>111.13</v>
      </c>
    </row>
    <row r="60" spans="1:3" x14ac:dyDescent="0.25">
      <c r="A60" s="76" t="s">
        <v>719</v>
      </c>
      <c r="B60" s="68" t="s">
        <v>185</v>
      </c>
      <c r="C60" s="67">
        <v>64.34</v>
      </c>
    </row>
    <row r="61" spans="1:3" x14ac:dyDescent="0.25">
      <c r="A61" s="76" t="s">
        <v>720</v>
      </c>
      <c r="B61" s="68" t="s">
        <v>721</v>
      </c>
      <c r="C61" s="67">
        <v>209.1</v>
      </c>
    </row>
    <row r="62" spans="1:3" x14ac:dyDescent="0.25">
      <c r="A62" s="76" t="s">
        <v>722</v>
      </c>
      <c r="B62" s="68" t="s">
        <v>721</v>
      </c>
      <c r="C62" s="67">
        <v>120.54</v>
      </c>
    </row>
  </sheetData>
  <sortState ref="A2:C60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activeCell="C2" sqref="C2"/>
    </sheetView>
  </sheetViews>
  <sheetFormatPr defaultRowHeight="15" x14ac:dyDescent="0.25"/>
  <cols>
    <col min="1" max="1" width="60.28515625" customWidth="1"/>
    <col min="2" max="2" width="15" style="2" customWidth="1"/>
    <col min="3" max="3" width="15" customWidth="1"/>
  </cols>
  <sheetData>
    <row r="1" spans="1:3" x14ac:dyDescent="0.25">
      <c r="A1" s="4" t="s">
        <v>87</v>
      </c>
      <c r="B1" s="9" t="s">
        <v>87</v>
      </c>
      <c r="C1" s="7">
        <v>0</v>
      </c>
    </row>
    <row r="2" spans="1:3" x14ac:dyDescent="0.25">
      <c r="A2" s="4" t="s">
        <v>19</v>
      </c>
      <c r="B2" s="9" t="s">
        <v>20</v>
      </c>
      <c r="C2" s="7">
        <v>170</v>
      </c>
    </row>
    <row r="3" spans="1:3" x14ac:dyDescent="0.25">
      <c r="A3" s="4" t="s">
        <v>21</v>
      </c>
      <c r="B3" s="9" t="s">
        <v>23</v>
      </c>
      <c r="C3" s="7">
        <v>2000</v>
      </c>
    </row>
    <row r="4" spans="1:3" x14ac:dyDescent="0.25">
      <c r="A4" s="4" t="s">
        <v>22</v>
      </c>
      <c r="B4" s="9" t="s">
        <v>23</v>
      </c>
      <c r="C4" s="7">
        <v>2000</v>
      </c>
    </row>
    <row r="5" spans="1:3" x14ac:dyDescent="0.25">
      <c r="A5" s="4"/>
      <c r="B5" s="9"/>
      <c r="C5" s="7"/>
    </row>
    <row r="6" spans="1:3" x14ac:dyDescent="0.25">
      <c r="A6" s="13"/>
      <c r="B6" s="14"/>
      <c r="C6" s="16"/>
    </row>
    <row r="7" spans="1:3" x14ac:dyDescent="0.25">
      <c r="A7" s="4"/>
      <c r="B7" s="9"/>
      <c r="C7" s="7"/>
    </row>
    <row r="8" spans="1:3" x14ac:dyDescent="0.25">
      <c r="A8" s="13"/>
      <c r="B8" s="14"/>
      <c r="C8" s="16"/>
    </row>
    <row r="9" spans="1:3" x14ac:dyDescent="0.25">
      <c r="A9" s="4"/>
      <c r="B9" s="9"/>
      <c r="C9" s="16"/>
    </row>
    <row r="10" spans="1:3" x14ac:dyDescent="0.25">
      <c r="A10" s="13"/>
      <c r="B10" s="14"/>
      <c r="C10" s="16"/>
    </row>
    <row r="11" spans="1:3" x14ac:dyDescent="0.25">
      <c r="A11" s="4"/>
      <c r="B11" s="9"/>
      <c r="C11" s="7"/>
    </row>
    <row r="12" spans="1:3" x14ac:dyDescent="0.25">
      <c r="A12" s="4"/>
      <c r="B12" s="9"/>
      <c r="C12" s="7"/>
    </row>
    <row r="13" spans="1:3" x14ac:dyDescent="0.25">
      <c r="A13" s="4"/>
      <c r="B13" s="9"/>
      <c r="C13" s="7"/>
    </row>
    <row r="14" spans="1:3" x14ac:dyDescent="0.25">
      <c r="A14" s="4"/>
      <c r="B14" s="9"/>
      <c r="C14" s="7"/>
    </row>
    <row r="15" spans="1:3" x14ac:dyDescent="0.25">
      <c r="A15" s="4"/>
      <c r="B15" s="9"/>
      <c r="C15" s="7"/>
    </row>
    <row r="16" spans="1:3" x14ac:dyDescent="0.25">
      <c r="A16" s="4"/>
      <c r="B16" s="9"/>
      <c r="C16" s="7"/>
    </row>
    <row r="17" spans="1:3" x14ac:dyDescent="0.25">
      <c r="A17" s="4"/>
      <c r="B17" s="9"/>
      <c r="C17" s="7"/>
    </row>
    <row r="18" spans="1:3" x14ac:dyDescent="0.25">
      <c r="A18" s="4"/>
      <c r="B18" s="9"/>
      <c r="C18" s="7"/>
    </row>
    <row r="19" spans="1:3" x14ac:dyDescent="0.25">
      <c r="A19" s="4"/>
      <c r="B19" s="14"/>
      <c r="C19" s="16"/>
    </row>
    <row r="20" spans="1:3" x14ac:dyDescent="0.25">
      <c r="A20" s="4"/>
      <c r="B20" s="9"/>
      <c r="C20" s="7"/>
    </row>
    <row r="21" spans="1:3" x14ac:dyDescent="0.25">
      <c r="A21" s="4"/>
      <c r="B21" s="9"/>
      <c r="C21" s="7"/>
    </row>
    <row r="22" spans="1:3" x14ac:dyDescent="0.25">
      <c r="A22" s="4"/>
      <c r="B22" s="9"/>
      <c r="C22" s="7"/>
    </row>
    <row r="23" spans="1:3" x14ac:dyDescent="0.25">
      <c r="A23" s="4"/>
      <c r="B23" s="9"/>
      <c r="C23" s="7"/>
    </row>
    <row r="24" spans="1:3" x14ac:dyDescent="0.25">
      <c r="A24" s="4"/>
      <c r="B24" s="9"/>
      <c r="C24" s="7"/>
    </row>
    <row r="25" spans="1:3" x14ac:dyDescent="0.25">
      <c r="A25" s="4"/>
      <c r="B25" s="9"/>
      <c r="C25" s="7"/>
    </row>
    <row r="26" spans="1:3" x14ac:dyDescent="0.25">
      <c r="A26" s="4"/>
      <c r="B26" s="9"/>
      <c r="C26" s="7"/>
    </row>
    <row r="27" spans="1:3" x14ac:dyDescent="0.25">
      <c r="A27" s="4"/>
      <c r="B27" s="9"/>
      <c r="C27" s="7"/>
    </row>
    <row r="28" spans="1:3" x14ac:dyDescent="0.25">
      <c r="A28" s="4"/>
      <c r="B28" s="9"/>
      <c r="C28" s="7"/>
    </row>
    <row r="29" spans="1:3" x14ac:dyDescent="0.25">
      <c r="A29" s="4"/>
      <c r="B29" s="9"/>
      <c r="C29" s="7"/>
    </row>
    <row r="30" spans="1:3" x14ac:dyDescent="0.25">
      <c r="A30" s="4"/>
      <c r="B30" s="9"/>
      <c r="C30" s="7"/>
    </row>
    <row r="31" spans="1:3" x14ac:dyDescent="0.25">
      <c r="A31" s="4"/>
      <c r="B31" s="9"/>
      <c r="C31" s="7"/>
    </row>
    <row r="32" spans="1:3" x14ac:dyDescent="0.25">
      <c r="A32" s="4"/>
      <c r="B32" s="9"/>
      <c r="C32" s="7"/>
    </row>
    <row r="33" spans="1:8" x14ac:dyDescent="0.25">
      <c r="A33" s="4"/>
      <c r="B33" s="9"/>
      <c r="C33" s="7"/>
    </row>
    <row r="34" spans="1:8" ht="16.5" customHeight="1" x14ac:dyDescent="0.25">
      <c r="A34" s="4"/>
      <c r="B34" s="9"/>
      <c r="C34" s="7"/>
    </row>
    <row r="35" spans="1:8" ht="16.5" customHeight="1" x14ac:dyDescent="0.25">
      <c r="A35" s="4"/>
      <c r="B35" s="9"/>
      <c r="C35" s="7"/>
    </row>
    <row r="36" spans="1:8" x14ac:dyDescent="0.25">
      <c r="A36" s="47"/>
      <c r="B36" s="48"/>
      <c r="C36" s="49"/>
    </row>
    <row r="37" spans="1:8" x14ac:dyDescent="0.25">
      <c r="A37" s="47"/>
      <c r="B37" s="48"/>
      <c r="C37" s="49"/>
    </row>
    <row r="38" spans="1:8" ht="29.25" customHeight="1" x14ac:dyDescent="0.25">
      <c r="A38" s="4"/>
      <c r="B38" s="9"/>
      <c r="C38" s="7"/>
    </row>
    <row r="39" spans="1:8" x14ac:dyDescent="0.25">
      <c r="A39" s="4"/>
      <c r="B39" s="9"/>
      <c r="C39" s="7"/>
      <c r="H39" t="s">
        <v>49</v>
      </c>
    </row>
    <row r="40" spans="1:8" x14ac:dyDescent="0.25">
      <c r="A40" s="4"/>
      <c r="B40" s="9"/>
      <c r="C40" s="7"/>
    </row>
    <row r="41" spans="1:8" x14ac:dyDescent="0.25">
      <c r="A41" s="4"/>
      <c r="B41" s="9"/>
      <c r="C41" s="7"/>
    </row>
    <row r="42" spans="1:8" x14ac:dyDescent="0.25">
      <c r="A42" s="4"/>
      <c r="B42" s="9"/>
      <c r="C42" s="7"/>
    </row>
    <row r="43" spans="1:8" x14ac:dyDescent="0.25">
      <c r="A43" s="4"/>
      <c r="B43" s="9"/>
      <c r="C43" s="7"/>
    </row>
    <row r="44" spans="1:8" x14ac:dyDescent="0.25">
      <c r="A44" s="4"/>
      <c r="B44" s="9"/>
      <c r="C44" s="7"/>
    </row>
    <row r="45" spans="1:8" x14ac:dyDescent="0.25">
      <c r="A45" s="4"/>
      <c r="B45" s="9"/>
      <c r="C45" s="7"/>
    </row>
    <row r="46" spans="1:8" ht="15.75" x14ac:dyDescent="0.25">
      <c r="A46" s="20"/>
      <c r="B46" s="21"/>
      <c r="C46" s="7"/>
    </row>
    <row r="47" spans="1:8" ht="15.75" x14ac:dyDescent="0.25">
      <c r="A47" s="20"/>
      <c r="B47" s="21"/>
      <c r="C47" s="7"/>
    </row>
    <row r="48" spans="1:8" ht="15.75" x14ac:dyDescent="0.25">
      <c r="A48" s="20"/>
      <c r="B48" s="21"/>
      <c r="C48" s="7"/>
    </row>
    <row r="49" spans="1:3" ht="15.75" x14ac:dyDescent="0.25">
      <c r="A49" s="20"/>
      <c r="B49" s="21"/>
      <c r="C49" s="7"/>
    </row>
    <row r="50" spans="1:3" ht="15.75" x14ac:dyDescent="0.25">
      <c r="A50" s="20"/>
      <c r="B50" s="21"/>
      <c r="C50" s="7"/>
    </row>
    <row r="51" spans="1:3" ht="15.75" x14ac:dyDescent="0.25">
      <c r="A51" s="20"/>
      <c r="B51" s="21"/>
      <c r="C51" s="7"/>
    </row>
    <row r="52" spans="1:3" ht="15.75" x14ac:dyDescent="0.25">
      <c r="A52" s="22"/>
      <c r="B52" s="21"/>
      <c r="C52" s="7"/>
    </row>
    <row r="53" spans="1:3" ht="15.75" x14ac:dyDescent="0.25">
      <c r="A53" s="22"/>
      <c r="B53" s="21"/>
      <c r="C53" s="7"/>
    </row>
    <row r="54" spans="1:3" x14ac:dyDescent="0.25">
      <c r="B54"/>
    </row>
    <row r="55" spans="1:3" x14ac:dyDescent="0.25">
      <c r="B55"/>
    </row>
    <row r="56" spans="1:3" x14ac:dyDescent="0.25">
      <c r="B56"/>
    </row>
    <row r="57" spans="1:3" x14ac:dyDescent="0.25">
      <c r="B57"/>
    </row>
    <row r="58" spans="1:3" x14ac:dyDescent="0.25">
      <c r="B58"/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workbookViewId="0">
      <selection activeCell="J24" sqref="J24"/>
    </sheetView>
  </sheetViews>
  <sheetFormatPr defaultRowHeight="15" x14ac:dyDescent="0.25"/>
  <cols>
    <col min="1" max="1" width="60.28515625" style="97" customWidth="1"/>
    <col min="2" max="2" width="15" style="69" customWidth="1"/>
    <col min="3" max="3" width="15" style="74" customWidth="1"/>
  </cols>
  <sheetData>
    <row r="1" spans="1:3" x14ac:dyDescent="0.25">
      <c r="A1" s="93" t="s">
        <v>87</v>
      </c>
      <c r="B1" s="66" t="s">
        <v>87</v>
      </c>
      <c r="C1" s="71">
        <v>0</v>
      </c>
    </row>
    <row r="2" spans="1:3" x14ac:dyDescent="0.25">
      <c r="A2" s="94" t="s">
        <v>648</v>
      </c>
      <c r="B2" s="66" t="s">
        <v>14</v>
      </c>
      <c r="C2" s="71">
        <v>870</v>
      </c>
    </row>
    <row r="3" spans="1:3" ht="25.5" x14ac:dyDescent="0.25">
      <c r="A3" s="94" t="s">
        <v>653</v>
      </c>
      <c r="B3" s="66" t="s">
        <v>14</v>
      </c>
      <c r="C3" s="71">
        <v>96.84</v>
      </c>
    </row>
    <row r="4" spans="1:3" x14ac:dyDescent="0.25">
      <c r="A4" s="94" t="s">
        <v>674</v>
      </c>
      <c r="B4" s="66" t="s">
        <v>14</v>
      </c>
      <c r="C4" s="71">
        <v>3060</v>
      </c>
    </row>
    <row r="5" spans="1:3" x14ac:dyDescent="0.25">
      <c r="A5" s="94" t="s">
        <v>686</v>
      </c>
      <c r="B5" s="66" t="s">
        <v>185</v>
      </c>
      <c r="C5" s="71">
        <v>4.0999999999999996</v>
      </c>
    </row>
    <row r="6" spans="1:3" x14ac:dyDescent="0.25">
      <c r="A6" s="94" t="s">
        <v>660</v>
      </c>
      <c r="B6" s="66" t="s">
        <v>185</v>
      </c>
      <c r="C6" s="71">
        <v>5.7</v>
      </c>
    </row>
    <row r="7" spans="1:3" x14ac:dyDescent="0.25">
      <c r="A7" s="94" t="s">
        <v>661</v>
      </c>
      <c r="B7" s="66" t="s">
        <v>185</v>
      </c>
      <c r="C7" s="71">
        <v>8.1999999999999993</v>
      </c>
    </row>
    <row r="8" spans="1:3" x14ac:dyDescent="0.25">
      <c r="A8" s="94" t="s">
        <v>693</v>
      </c>
      <c r="B8" s="66" t="s">
        <v>14</v>
      </c>
      <c r="C8" s="71">
        <v>885</v>
      </c>
    </row>
    <row r="9" spans="1:3" x14ac:dyDescent="0.25">
      <c r="A9" s="94" t="s">
        <v>692</v>
      </c>
      <c r="B9" s="66" t="s">
        <v>14</v>
      </c>
      <c r="C9" s="71">
        <v>915</v>
      </c>
    </row>
    <row r="10" spans="1:3" x14ac:dyDescent="0.25">
      <c r="A10" s="94" t="s">
        <v>670</v>
      </c>
      <c r="B10" s="66" t="s">
        <v>14</v>
      </c>
      <c r="C10" s="71">
        <v>7702</v>
      </c>
    </row>
    <row r="11" spans="1:3" x14ac:dyDescent="0.25">
      <c r="A11" s="94" t="s">
        <v>672</v>
      </c>
      <c r="B11" s="66" t="s">
        <v>14</v>
      </c>
      <c r="C11" s="71">
        <v>2480</v>
      </c>
    </row>
    <row r="12" spans="1:3" ht="51" x14ac:dyDescent="0.25">
      <c r="A12" s="94" t="s">
        <v>671</v>
      </c>
      <c r="B12" s="66" t="s">
        <v>14</v>
      </c>
      <c r="C12" s="71">
        <v>3635</v>
      </c>
    </row>
    <row r="13" spans="1:3" ht="25.5" x14ac:dyDescent="0.25">
      <c r="A13" s="94" t="s">
        <v>696</v>
      </c>
      <c r="B13" s="66" t="s">
        <v>14</v>
      </c>
      <c r="C13" s="71">
        <v>850</v>
      </c>
    </row>
    <row r="14" spans="1:3" x14ac:dyDescent="0.25">
      <c r="A14" s="94" t="s">
        <v>695</v>
      </c>
      <c r="B14" s="66" t="s">
        <v>14</v>
      </c>
      <c r="C14" s="71">
        <v>1120</v>
      </c>
    </row>
    <row r="15" spans="1:3" x14ac:dyDescent="0.25">
      <c r="A15" s="94" t="s">
        <v>649</v>
      </c>
      <c r="B15" s="66" t="s">
        <v>14</v>
      </c>
      <c r="C15" s="71">
        <v>800</v>
      </c>
    </row>
    <row r="16" spans="1:3" x14ac:dyDescent="0.25">
      <c r="A16" s="94" t="s">
        <v>650</v>
      </c>
      <c r="B16" s="66" t="s">
        <v>14</v>
      </c>
      <c r="C16" s="71">
        <v>900</v>
      </c>
    </row>
    <row r="17" spans="1:3" x14ac:dyDescent="0.25">
      <c r="A17" s="94" t="s">
        <v>647</v>
      </c>
      <c r="B17" s="66" t="s">
        <v>14</v>
      </c>
      <c r="C17" s="71">
        <v>1350</v>
      </c>
    </row>
    <row r="18" spans="1:3" x14ac:dyDescent="0.25">
      <c r="A18" s="94" t="s">
        <v>682</v>
      </c>
      <c r="B18" s="66" t="s">
        <v>185</v>
      </c>
      <c r="C18" s="71">
        <v>10.75</v>
      </c>
    </row>
    <row r="19" spans="1:3" x14ac:dyDescent="0.25">
      <c r="A19" s="94" t="s">
        <v>683</v>
      </c>
      <c r="B19" s="66" t="s">
        <v>185</v>
      </c>
      <c r="C19" s="71">
        <v>20.6</v>
      </c>
    </row>
    <row r="20" spans="1:3" x14ac:dyDescent="0.25">
      <c r="A20" s="94" t="s">
        <v>659</v>
      </c>
      <c r="B20" s="66" t="s">
        <v>185</v>
      </c>
      <c r="C20" s="71">
        <v>33.700000000000003</v>
      </c>
    </row>
    <row r="21" spans="1:3" x14ac:dyDescent="0.25">
      <c r="A21" s="94" t="s">
        <v>685</v>
      </c>
      <c r="B21" s="66" t="s">
        <v>185</v>
      </c>
      <c r="C21" s="71">
        <v>71.819999999999993</v>
      </c>
    </row>
    <row r="22" spans="1:3" x14ac:dyDescent="0.25">
      <c r="A22" s="94" t="s">
        <v>684</v>
      </c>
      <c r="B22" s="66" t="s">
        <v>185</v>
      </c>
      <c r="C22" s="71">
        <v>28.2</v>
      </c>
    </row>
    <row r="23" spans="1:3" x14ac:dyDescent="0.25">
      <c r="A23" s="94" t="s">
        <v>657</v>
      </c>
      <c r="B23" s="66" t="s">
        <v>185</v>
      </c>
      <c r="C23" s="71">
        <v>12.3</v>
      </c>
    </row>
    <row r="24" spans="1:3" x14ac:dyDescent="0.25">
      <c r="A24" s="94" t="s">
        <v>656</v>
      </c>
      <c r="B24" s="66" t="s">
        <v>185</v>
      </c>
      <c r="C24" s="71">
        <v>17.399999999999999</v>
      </c>
    </row>
    <row r="25" spans="1:3" x14ac:dyDescent="0.25">
      <c r="A25" s="94" t="s">
        <v>658</v>
      </c>
      <c r="B25" s="66" t="s">
        <v>185</v>
      </c>
      <c r="C25" s="71">
        <v>5.6</v>
      </c>
    </row>
    <row r="26" spans="1:3" x14ac:dyDescent="0.25">
      <c r="A26" s="94" t="s">
        <v>687</v>
      </c>
      <c r="B26" s="66" t="s">
        <v>185</v>
      </c>
      <c r="C26" s="71">
        <v>24.2</v>
      </c>
    </row>
    <row r="27" spans="1:3" x14ac:dyDescent="0.25">
      <c r="A27" s="94" t="s">
        <v>663</v>
      </c>
      <c r="B27" s="66" t="s">
        <v>185</v>
      </c>
      <c r="C27" s="71">
        <v>28.8</v>
      </c>
    </row>
    <row r="28" spans="1:3" x14ac:dyDescent="0.25">
      <c r="A28" s="94" t="s">
        <v>676</v>
      </c>
      <c r="B28" s="66" t="s">
        <v>185</v>
      </c>
      <c r="C28" s="71">
        <v>29.3</v>
      </c>
    </row>
    <row r="29" spans="1:3" ht="16.5" customHeight="1" x14ac:dyDescent="0.25">
      <c r="A29" s="94" t="s">
        <v>677</v>
      </c>
      <c r="B29" s="66" t="s">
        <v>185</v>
      </c>
      <c r="C29" s="71">
        <v>49.4</v>
      </c>
    </row>
    <row r="30" spans="1:3" ht="13.5" customHeight="1" x14ac:dyDescent="0.25">
      <c r="A30" s="94" t="s">
        <v>662</v>
      </c>
      <c r="B30" s="66" t="s">
        <v>185</v>
      </c>
      <c r="C30" s="71">
        <v>34.409999999999997</v>
      </c>
    </row>
    <row r="31" spans="1:3" x14ac:dyDescent="0.25">
      <c r="A31" s="94" t="s">
        <v>703</v>
      </c>
      <c r="B31" s="66" t="s">
        <v>14</v>
      </c>
      <c r="C31" s="71">
        <v>1438</v>
      </c>
    </row>
    <row r="32" spans="1:3" x14ac:dyDescent="0.25">
      <c r="A32" s="94" t="s">
        <v>638</v>
      </c>
      <c r="B32" s="66" t="s">
        <v>14</v>
      </c>
      <c r="C32" s="71">
        <v>199.5</v>
      </c>
    </row>
    <row r="33" spans="1:8" ht="13.5" customHeight="1" x14ac:dyDescent="0.25">
      <c r="A33" s="94" t="s">
        <v>706</v>
      </c>
      <c r="B33" s="66" t="s">
        <v>14</v>
      </c>
      <c r="C33" s="71">
        <v>1.8</v>
      </c>
    </row>
    <row r="34" spans="1:8" ht="15.75" customHeight="1" x14ac:dyDescent="0.25">
      <c r="A34" s="94" t="s">
        <v>702</v>
      </c>
      <c r="B34" s="66" t="s">
        <v>14</v>
      </c>
      <c r="C34" s="71">
        <v>5129</v>
      </c>
      <c r="H34" t="s">
        <v>49</v>
      </c>
    </row>
    <row r="35" spans="1:8" ht="38.25" x14ac:dyDescent="0.25">
      <c r="A35" s="94" t="s">
        <v>645</v>
      </c>
      <c r="B35" s="66" t="s">
        <v>631</v>
      </c>
      <c r="C35" s="71">
        <v>2356</v>
      </c>
    </row>
    <row r="36" spans="1:8" x14ac:dyDescent="0.25">
      <c r="A36" s="94" t="s">
        <v>640</v>
      </c>
      <c r="B36" s="66" t="s">
        <v>14</v>
      </c>
      <c r="C36" s="71">
        <v>320</v>
      </c>
    </row>
    <row r="37" spans="1:8" x14ac:dyDescent="0.25">
      <c r="A37" s="94" t="s">
        <v>637</v>
      </c>
      <c r="B37" s="66" t="s">
        <v>14</v>
      </c>
      <c r="C37" s="71">
        <v>450</v>
      </c>
    </row>
    <row r="38" spans="1:8" x14ac:dyDescent="0.25">
      <c r="A38" s="94" t="s">
        <v>639</v>
      </c>
      <c r="B38" s="66" t="s">
        <v>14</v>
      </c>
      <c r="C38" s="71">
        <v>450</v>
      </c>
    </row>
    <row r="39" spans="1:8" x14ac:dyDescent="0.25">
      <c r="A39" s="94" t="s">
        <v>688</v>
      </c>
      <c r="B39" s="66" t="s">
        <v>185</v>
      </c>
      <c r="C39" s="71">
        <v>130</v>
      </c>
    </row>
    <row r="40" spans="1:8" ht="25.5" x14ac:dyDescent="0.25">
      <c r="A40" s="94" t="s">
        <v>691</v>
      </c>
      <c r="B40" s="66" t="s">
        <v>14</v>
      </c>
      <c r="C40" s="71">
        <v>248</v>
      </c>
    </row>
    <row r="41" spans="1:8" x14ac:dyDescent="0.25">
      <c r="A41" s="94" t="s">
        <v>642</v>
      </c>
      <c r="B41" s="66" t="s">
        <v>14</v>
      </c>
      <c r="C41" s="71">
        <v>220</v>
      </c>
    </row>
    <row r="42" spans="1:8" ht="25.5" x14ac:dyDescent="0.25">
      <c r="A42" s="94" t="s">
        <v>665</v>
      </c>
      <c r="B42" s="66" t="s">
        <v>14</v>
      </c>
      <c r="C42" s="71">
        <v>248</v>
      </c>
    </row>
    <row r="43" spans="1:8" x14ac:dyDescent="0.25">
      <c r="A43" s="94" t="s">
        <v>664</v>
      </c>
      <c r="B43" s="66" t="s">
        <v>185</v>
      </c>
      <c r="C43" s="71">
        <v>18.399999999999999</v>
      </c>
    </row>
    <row r="44" spans="1:8" x14ac:dyDescent="0.25">
      <c r="A44" s="94" t="s">
        <v>641</v>
      </c>
      <c r="B44" s="66" t="s">
        <v>14</v>
      </c>
      <c r="C44" s="71">
        <v>18.41</v>
      </c>
    </row>
    <row r="45" spans="1:8" x14ac:dyDescent="0.25">
      <c r="A45" s="94" t="s">
        <v>635</v>
      </c>
      <c r="B45" s="66" t="s">
        <v>14</v>
      </c>
      <c r="C45" s="71">
        <v>540</v>
      </c>
    </row>
    <row r="46" spans="1:8" x14ac:dyDescent="0.25">
      <c r="A46" s="94" t="s">
        <v>668</v>
      </c>
      <c r="B46" s="66" t="s">
        <v>14</v>
      </c>
      <c r="C46" s="71">
        <v>1030</v>
      </c>
    </row>
    <row r="47" spans="1:8" x14ac:dyDescent="0.25">
      <c r="A47" s="94" t="s">
        <v>669</v>
      </c>
      <c r="B47" s="66" t="s">
        <v>14</v>
      </c>
      <c r="C47" s="71">
        <v>1030</v>
      </c>
    </row>
    <row r="48" spans="1:8" ht="16.5" customHeight="1" x14ac:dyDescent="0.25">
      <c r="A48" s="94" t="s">
        <v>652</v>
      </c>
      <c r="B48" s="66" t="s">
        <v>14</v>
      </c>
      <c r="C48" s="71">
        <v>215</v>
      </c>
    </row>
    <row r="49" spans="1:8" x14ac:dyDescent="0.25">
      <c r="A49" s="94" t="s">
        <v>700</v>
      </c>
      <c r="B49" s="66" t="s">
        <v>14</v>
      </c>
      <c r="C49" s="71">
        <v>118</v>
      </c>
    </row>
    <row r="50" spans="1:8" ht="25.5" x14ac:dyDescent="0.25">
      <c r="A50" s="94" t="s">
        <v>646</v>
      </c>
      <c r="B50" s="66" t="s">
        <v>14</v>
      </c>
      <c r="C50" s="71">
        <v>19776</v>
      </c>
    </row>
    <row r="51" spans="1:8" ht="29.25" customHeight="1" x14ac:dyDescent="0.25">
      <c r="A51" s="94" t="s">
        <v>675</v>
      </c>
      <c r="B51" s="66" t="s">
        <v>14</v>
      </c>
      <c r="C51" s="71">
        <v>101836</v>
      </c>
    </row>
    <row r="52" spans="1:8" x14ac:dyDescent="0.25">
      <c r="A52" s="94" t="s">
        <v>673</v>
      </c>
      <c r="B52" s="66" t="s">
        <v>14</v>
      </c>
      <c r="C52" s="71">
        <v>2460</v>
      </c>
      <c r="H52" t="s">
        <v>49</v>
      </c>
    </row>
    <row r="53" spans="1:8" x14ac:dyDescent="0.25">
      <c r="A53" s="94" t="s">
        <v>643</v>
      </c>
      <c r="B53" s="66" t="s">
        <v>14</v>
      </c>
      <c r="C53" s="71">
        <v>19.489999999999998</v>
      </c>
    </row>
    <row r="54" spans="1:8" x14ac:dyDescent="0.25">
      <c r="A54" s="94" t="s">
        <v>681</v>
      </c>
      <c r="B54" s="66" t="s">
        <v>185</v>
      </c>
      <c r="C54" s="71">
        <v>27.1</v>
      </c>
    </row>
    <row r="55" spans="1:8" x14ac:dyDescent="0.25">
      <c r="A55" s="94" t="s">
        <v>678</v>
      </c>
      <c r="B55" s="66" t="s">
        <v>185</v>
      </c>
      <c r="C55" s="71">
        <v>10.7</v>
      </c>
    </row>
    <row r="56" spans="1:8" x14ac:dyDescent="0.25">
      <c r="A56" s="94" t="s">
        <v>679</v>
      </c>
      <c r="B56" s="66" t="s">
        <v>185</v>
      </c>
      <c r="C56" s="71">
        <v>14</v>
      </c>
    </row>
    <row r="57" spans="1:8" x14ac:dyDescent="0.25">
      <c r="A57" s="94" t="s">
        <v>680</v>
      </c>
      <c r="B57" s="66" t="s">
        <v>185</v>
      </c>
      <c r="C57" s="71">
        <v>17.899999999999999</v>
      </c>
    </row>
    <row r="58" spans="1:8" x14ac:dyDescent="0.25">
      <c r="A58" s="94" t="s">
        <v>655</v>
      </c>
      <c r="B58" s="66" t="s">
        <v>185</v>
      </c>
      <c r="C58" s="71">
        <v>640</v>
      </c>
    </row>
    <row r="59" spans="1:8" x14ac:dyDescent="0.25">
      <c r="A59" s="94" t="s">
        <v>634</v>
      </c>
      <c r="B59" s="66" t="s">
        <v>14</v>
      </c>
      <c r="C59" s="71">
        <v>430</v>
      </c>
    </row>
    <row r="60" spans="1:8" ht="25.5" x14ac:dyDescent="0.25">
      <c r="A60" s="94" t="s">
        <v>666</v>
      </c>
      <c r="B60" s="66" t="s">
        <v>14</v>
      </c>
      <c r="C60" s="71">
        <v>910</v>
      </c>
    </row>
    <row r="61" spans="1:8" ht="25.5" x14ac:dyDescent="0.25">
      <c r="A61" s="94" t="s">
        <v>667</v>
      </c>
      <c r="B61" s="66" t="s">
        <v>14</v>
      </c>
      <c r="C61" s="71">
        <v>910</v>
      </c>
    </row>
    <row r="62" spans="1:8" x14ac:dyDescent="0.25">
      <c r="A62" s="94" t="s">
        <v>690</v>
      </c>
      <c r="B62" s="66" t="s">
        <v>14</v>
      </c>
      <c r="C62" s="71">
        <v>324</v>
      </c>
    </row>
    <row r="63" spans="1:8" x14ac:dyDescent="0.25">
      <c r="A63" s="94" t="s">
        <v>689</v>
      </c>
      <c r="B63" s="66" t="s">
        <v>14</v>
      </c>
      <c r="C63" s="71">
        <v>324</v>
      </c>
    </row>
    <row r="64" spans="1:8" x14ac:dyDescent="0.25">
      <c r="A64" s="94" t="s">
        <v>694</v>
      </c>
      <c r="B64" s="66" t="s">
        <v>14</v>
      </c>
      <c r="C64" s="71">
        <v>2760</v>
      </c>
    </row>
    <row r="65" spans="1:8" x14ac:dyDescent="0.25">
      <c r="A65" s="94" t="s">
        <v>705</v>
      </c>
      <c r="B65" s="66" t="s">
        <v>14</v>
      </c>
      <c r="C65" s="71">
        <v>450</v>
      </c>
    </row>
    <row r="66" spans="1:8" ht="16.5" customHeight="1" x14ac:dyDescent="0.25">
      <c r="A66" s="94" t="s">
        <v>636</v>
      </c>
      <c r="B66" s="66" t="s">
        <v>14</v>
      </c>
      <c r="C66" s="71">
        <v>1580</v>
      </c>
    </row>
    <row r="67" spans="1:8" x14ac:dyDescent="0.25">
      <c r="A67" s="94" t="s">
        <v>651</v>
      </c>
      <c r="B67" s="66" t="s">
        <v>14</v>
      </c>
      <c r="C67" s="71">
        <v>165</v>
      </c>
    </row>
    <row r="68" spans="1:8" ht="25.5" x14ac:dyDescent="0.25">
      <c r="A68" s="94" t="s">
        <v>701</v>
      </c>
      <c r="B68" s="66" t="s">
        <v>14</v>
      </c>
      <c r="C68" s="71">
        <v>62292</v>
      </c>
    </row>
    <row r="69" spans="1:8" ht="29.25" customHeight="1" x14ac:dyDescent="0.25">
      <c r="A69" s="94" t="s">
        <v>704</v>
      </c>
      <c r="B69" s="66" t="s">
        <v>14</v>
      </c>
      <c r="C69" s="71">
        <v>17599</v>
      </c>
    </row>
    <row r="70" spans="1:8" ht="25.5" x14ac:dyDescent="0.25">
      <c r="A70" s="94" t="s">
        <v>699</v>
      </c>
      <c r="B70" s="66" t="s">
        <v>14</v>
      </c>
      <c r="C70" s="71">
        <v>5415</v>
      </c>
      <c r="H70" t="s">
        <v>49</v>
      </c>
    </row>
    <row r="71" spans="1:8" ht="25.5" x14ac:dyDescent="0.25">
      <c r="A71" s="94" t="s">
        <v>698</v>
      </c>
      <c r="B71" s="66" t="s">
        <v>14</v>
      </c>
      <c r="C71" s="71">
        <v>2185</v>
      </c>
    </row>
    <row r="72" spans="1:8" ht="25.5" x14ac:dyDescent="0.25">
      <c r="A72" s="94" t="s">
        <v>654</v>
      </c>
      <c r="B72" s="66" t="s">
        <v>14</v>
      </c>
      <c r="C72" s="71">
        <v>1800</v>
      </c>
    </row>
    <row r="73" spans="1:8" x14ac:dyDescent="0.25">
      <c r="A73" s="94" t="s">
        <v>697</v>
      </c>
      <c r="B73" s="66" t="s">
        <v>14</v>
      </c>
      <c r="C73" s="71">
        <v>13413</v>
      </c>
    </row>
    <row r="74" spans="1:8" x14ac:dyDescent="0.25">
      <c r="A74" s="94" t="s">
        <v>632</v>
      </c>
      <c r="B74" s="66" t="s">
        <v>185</v>
      </c>
      <c r="C74" s="71">
        <v>790</v>
      </c>
    </row>
    <row r="75" spans="1:8" x14ac:dyDescent="0.25">
      <c r="A75" s="94" t="s">
        <v>633</v>
      </c>
      <c r="B75" s="66" t="s">
        <v>185</v>
      </c>
      <c r="C75" s="71">
        <v>390</v>
      </c>
    </row>
    <row r="76" spans="1:8" x14ac:dyDescent="0.25">
      <c r="A76" s="94" t="s">
        <v>227</v>
      </c>
      <c r="B76" s="66" t="s">
        <v>14</v>
      </c>
      <c r="C76" s="71">
        <v>10500</v>
      </c>
    </row>
    <row r="77" spans="1:8" x14ac:dyDescent="0.25">
      <c r="A77" s="94" t="s">
        <v>630</v>
      </c>
      <c r="B77" s="66" t="s">
        <v>631</v>
      </c>
      <c r="C77" s="71">
        <v>300000</v>
      </c>
    </row>
    <row r="78" spans="1:8" x14ac:dyDescent="0.25">
      <c r="A78" s="94" t="s">
        <v>229</v>
      </c>
      <c r="B78" s="66" t="s">
        <v>14</v>
      </c>
      <c r="C78" s="71">
        <v>6000</v>
      </c>
    </row>
    <row r="79" spans="1:8" x14ac:dyDescent="0.25">
      <c r="A79" s="94" t="s">
        <v>217</v>
      </c>
      <c r="B79" s="66" t="s">
        <v>216</v>
      </c>
      <c r="C79" s="71">
        <v>250000</v>
      </c>
    </row>
    <row r="80" spans="1:8" ht="16.5" customHeight="1" x14ac:dyDescent="0.25">
      <c r="A80" s="94" t="s">
        <v>219</v>
      </c>
      <c r="B80" s="66" t="s">
        <v>14</v>
      </c>
      <c r="C80" s="71">
        <v>200</v>
      </c>
    </row>
    <row r="81" spans="1:8" x14ac:dyDescent="0.25">
      <c r="A81" s="94" t="s">
        <v>223</v>
      </c>
      <c r="B81" s="66" t="s">
        <v>14</v>
      </c>
      <c r="C81" s="71">
        <v>600</v>
      </c>
    </row>
    <row r="82" spans="1:8" x14ac:dyDescent="0.25">
      <c r="A82" s="94" t="s">
        <v>221</v>
      </c>
      <c r="B82" s="66" t="s">
        <v>14</v>
      </c>
      <c r="C82" s="71">
        <v>1800</v>
      </c>
    </row>
    <row r="83" spans="1:8" ht="29.25" customHeight="1" x14ac:dyDescent="0.25">
      <c r="A83" s="94" t="s">
        <v>225</v>
      </c>
      <c r="B83" s="66" t="s">
        <v>14</v>
      </c>
      <c r="C83" s="71">
        <v>300</v>
      </c>
    </row>
    <row r="84" spans="1:8" ht="38.25" x14ac:dyDescent="0.25">
      <c r="A84" s="94" t="s">
        <v>644</v>
      </c>
      <c r="B84" s="66" t="s">
        <v>631</v>
      </c>
      <c r="C84" s="71">
        <v>25600</v>
      </c>
      <c r="H84" t="s">
        <v>49</v>
      </c>
    </row>
    <row r="85" spans="1:8" x14ac:dyDescent="0.25">
      <c r="A85" s="94" t="s">
        <v>218</v>
      </c>
      <c r="B85" s="66" t="s">
        <v>185</v>
      </c>
      <c r="C85" s="71">
        <v>350</v>
      </c>
    </row>
    <row r="86" spans="1:8" x14ac:dyDescent="0.25">
      <c r="A86" s="94" t="s">
        <v>222</v>
      </c>
      <c r="B86" s="66" t="s">
        <v>185</v>
      </c>
      <c r="C86" s="71">
        <v>1380</v>
      </c>
    </row>
    <row r="87" spans="1:8" x14ac:dyDescent="0.25">
      <c r="A87" s="94" t="s">
        <v>220</v>
      </c>
      <c r="B87" s="66" t="s">
        <v>185</v>
      </c>
      <c r="C87" s="71">
        <v>3200</v>
      </c>
    </row>
    <row r="88" spans="1:8" x14ac:dyDescent="0.25">
      <c r="A88" s="94" t="s">
        <v>228</v>
      </c>
      <c r="B88" s="66" t="s">
        <v>14</v>
      </c>
      <c r="C88" s="71">
        <v>22100</v>
      </c>
    </row>
    <row r="89" spans="1:8" x14ac:dyDescent="0.25">
      <c r="A89" s="94" t="s">
        <v>226</v>
      </c>
      <c r="B89" s="66" t="s">
        <v>14</v>
      </c>
      <c r="C89" s="71">
        <v>1900</v>
      </c>
    </row>
    <row r="90" spans="1:8" x14ac:dyDescent="0.25">
      <c r="A90" s="94" t="s">
        <v>224</v>
      </c>
      <c r="B90" s="66" t="s">
        <v>14</v>
      </c>
      <c r="C90" s="71">
        <v>2500</v>
      </c>
    </row>
    <row r="91" spans="1:8" x14ac:dyDescent="0.25">
      <c r="A91" s="94" t="s">
        <v>707</v>
      </c>
      <c r="B91" s="66" t="s">
        <v>14</v>
      </c>
      <c r="C91" s="71">
        <v>150</v>
      </c>
    </row>
    <row r="92" spans="1:8" x14ac:dyDescent="0.25">
      <c r="A92" s="94" t="s">
        <v>708</v>
      </c>
      <c r="B92" s="66" t="s">
        <v>14</v>
      </c>
      <c r="C92" s="71">
        <v>280</v>
      </c>
    </row>
    <row r="93" spans="1:8" x14ac:dyDescent="0.25">
      <c r="A93" s="95"/>
      <c r="B93" s="83"/>
      <c r="C93" s="71"/>
    </row>
    <row r="94" spans="1:8" x14ac:dyDescent="0.25">
      <c r="A94" s="95"/>
      <c r="B94" s="83"/>
      <c r="C94" s="71"/>
    </row>
    <row r="95" spans="1:8" x14ac:dyDescent="0.25">
      <c r="A95" s="95"/>
      <c r="B95" s="83"/>
      <c r="C95" s="71"/>
    </row>
    <row r="96" spans="1:8" x14ac:dyDescent="0.25">
      <c r="A96" s="95"/>
      <c r="B96" s="83"/>
      <c r="C96" s="71"/>
    </row>
    <row r="97" spans="1:3" x14ac:dyDescent="0.25">
      <c r="A97" s="96"/>
      <c r="B97" s="83"/>
      <c r="C97" s="71"/>
    </row>
    <row r="98" spans="1:3" x14ac:dyDescent="0.25">
      <c r="B98" s="70"/>
    </row>
    <row r="99" spans="1:3" x14ac:dyDescent="0.25">
      <c r="B99" s="70"/>
    </row>
    <row r="100" spans="1:3" x14ac:dyDescent="0.25">
      <c r="B100" s="70"/>
    </row>
    <row r="101" spans="1:3" x14ac:dyDescent="0.25">
      <c r="B101" s="70"/>
    </row>
    <row r="102" spans="1:3" x14ac:dyDescent="0.25">
      <c r="B102" s="70"/>
    </row>
  </sheetData>
  <sortState ref="A1:C110">
    <sortCondition ref="A1:A110"/>
  </sortState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>
      <selection activeCell="A13" sqref="A13"/>
    </sheetView>
  </sheetViews>
  <sheetFormatPr defaultRowHeight="15" x14ac:dyDescent="0.25"/>
  <cols>
    <col min="1" max="1" width="70.5703125" customWidth="1"/>
    <col min="2" max="2" width="15" style="2" customWidth="1"/>
    <col min="3" max="3" width="15" customWidth="1"/>
  </cols>
  <sheetData>
    <row r="1" spans="1:3" ht="15.75" x14ac:dyDescent="0.25">
      <c r="A1" s="25" t="s">
        <v>87</v>
      </c>
      <c r="B1" s="9" t="s">
        <v>87</v>
      </c>
      <c r="C1" s="7">
        <v>0</v>
      </c>
    </row>
    <row r="2" spans="1:3" ht="15.75" x14ac:dyDescent="0.25">
      <c r="A2" s="25" t="s">
        <v>61</v>
      </c>
      <c r="B2" s="9"/>
      <c r="C2" s="7"/>
    </row>
    <row r="3" spans="1:3" ht="15.75" x14ac:dyDescent="0.25">
      <c r="A3" s="25" t="s">
        <v>62</v>
      </c>
      <c r="B3" s="14"/>
      <c r="C3" s="16"/>
    </row>
    <row r="4" spans="1:3" ht="15.75" x14ac:dyDescent="0.25">
      <c r="A4" s="25" t="s">
        <v>63</v>
      </c>
      <c r="B4" s="9"/>
      <c r="C4" s="16"/>
    </row>
    <row r="5" spans="1:3" ht="15.75" x14ac:dyDescent="0.25">
      <c r="A5" s="25" t="s">
        <v>76</v>
      </c>
      <c r="B5" s="9"/>
      <c r="C5" s="16"/>
    </row>
    <row r="6" spans="1:3" ht="15.75" x14ac:dyDescent="0.25">
      <c r="A6" s="25" t="s">
        <v>77</v>
      </c>
      <c r="B6" s="9"/>
      <c r="C6" s="16"/>
    </row>
    <row r="7" spans="1:3" ht="15.75" x14ac:dyDescent="0.25">
      <c r="A7" s="46" t="s">
        <v>64</v>
      </c>
      <c r="B7" s="14"/>
      <c r="C7" s="16"/>
    </row>
    <row r="8" spans="1:3" ht="15.75" x14ac:dyDescent="0.25">
      <c r="A8" s="46" t="s">
        <v>6</v>
      </c>
      <c r="B8" s="9"/>
      <c r="C8" s="7"/>
    </row>
    <row r="9" spans="1:3" ht="15.75" x14ac:dyDescent="0.25">
      <c r="A9" s="46" t="s">
        <v>955</v>
      </c>
      <c r="B9" s="9"/>
      <c r="C9" s="7"/>
    </row>
    <row r="10" spans="1:3" ht="15.75" x14ac:dyDescent="0.25">
      <c r="A10" s="46" t="s">
        <v>857</v>
      </c>
      <c r="B10" s="9"/>
      <c r="C10" s="7"/>
    </row>
    <row r="11" spans="1:3" ht="15.75" x14ac:dyDescent="0.25">
      <c r="A11" s="25" t="s">
        <v>65</v>
      </c>
      <c r="B11" s="9"/>
      <c r="C11" s="7"/>
    </row>
    <row r="12" spans="1:3" ht="15.75" x14ac:dyDescent="0.25">
      <c r="A12" s="25" t="s">
        <v>66</v>
      </c>
      <c r="B12" s="48"/>
      <c r="C12" s="49"/>
    </row>
    <row r="13" spans="1:3" ht="15.75" x14ac:dyDescent="0.25">
      <c r="A13" s="25" t="s">
        <v>67</v>
      </c>
      <c r="B13" s="9"/>
      <c r="C13" s="7"/>
    </row>
    <row r="14" spans="1:3" ht="15.75" x14ac:dyDescent="0.25">
      <c r="A14" s="25" t="s">
        <v>68</v>
      </c>
      <c r="B14" s="9"/>
      <c r="C14" s="7"/>
    </row>
    <row r="15" spans="1:3" ht="15.75" x14ac:dyDescent="0.25">
      <c r="A15" s="25" t="s">
        <v>18</v>
      </c>
      <c r="B15" s="21"/>
      <c r="C15" s="7"/>
    </row>
    <row r="16" spans="1:3" ht="15.75" x14ac:dyDescent="0.25">
      <c r="A16" s="43" t="s">
        <v>69</v>
      </c>
      <c r="B16" s="21"/>
      <c r="C16" s="7"/>
    </row>
    <row r="17" spans="1:3" ht="15.75" x14ac:dyDescent="0.25">
      <c r="A17" s="43" t="s">
        <v>75</v>
      </c>
      <c r="B17" s="18"/>
      <c r="C17" s="18"/>
    </row>
    <row r="18" spans="1:3" ht="15.75" x14ac:dyDescent="0.25">
      <c r="A18" s="43" t="s">
        <v>71</v>
      </c>
      <c r="B18" s="18"/>
      <c r="C18" s="18"/>
    </row>
    <row r="19" spans="1:3" ht="15.75" x14ac:dyDescent="0.25">
      <c r="A19" s="43" t="s">
        <v>72</v>
      </c>
      <c r="B19" s="19"/>
      <c r="C19" s="18"/>
    </row>
    <row r="20" spans="1:3" ht="15.75" x14ac:dyDescent="0.25">
      <c r="A20" s="43" t="s">
        <v>70</v>
      </c>
      <c r="B20" s="19"/>
      <c r="C20" s="18"/>
    </row>
    <row r="21" spans="1:3" ht="15.75" x14ac:dyDescent="0.25">
      <c r="A21" s="43" t="s">
        <v>15</v>
      </c>
      <c r="B21" s="19"/>
      <c r="C21" s="18"/>
    </row>
    <row r="22" spans="1:3" x14ac:dyDescent="0.25">
      <c r="A22" s="52" t="s">
        <v>91</v>
      </c>
      <c r="B22" s="19"/>
      <c r="C22" s="18"/>
    </row>
    <row r="23" spans="1:3" ht="18.75" x14ac:dyDescent="0.25">
      <c r="A23" s="53" t="s">
        <v>35</v>
      </c>
      <c r="B23" s="19"/>
      <c r="C23" s="18"/>
    </row>
    <row r="24" spans="1:3" ht="15.75" x14ac:dyDescent="0.25">
      <c r="A24" s="54" t="s">
        <v>73</v>
      </c>
      <c r="B24" s="19" t="s">
        <v>103</v>
      </c>
      <c r="C24" s="59">
        <v>8</v>
      </c>
    </row>
    <row r="25" spans="1:3" ht="15.75" x14ac:dyDescent="0.25">
      <c r="A25" s="43" t="s">
        <v>74</v>
      </c>
      <c r="B25" s="19"/>
      <c r="C25" s="18"/>
    </row>
    <row r="26" spans="1:3" ht="15.75" x14ac:dyDescent="0.25">
      <c r="A26" s="43" t="s">
        <v>88</v>
      </c>
      <c r="B26" s="9" t="s">
        <v>12</v>
      </c>
      <c r="C26" s="7">
        <v>730</v>
      </c>
    </row>
    <row r="27" spans="1:3" ht="15.75" x14ac:dyDescent="0.25">
      <c r="A27" s="43" t="s">
        <v>89</v>
      </c>
      <c r="B27" s="9" t="s">
        <v>12</v>
      </c>
      <c r="C27" s="7">
        <v>950</v>
      </c>
    </row>
    <row r="28" spans="1:3" ht="15.75" x14ac:dyDescent="0.25">
      <c r="A28" s="43" t="s">
        <v>90</v>
      </c>
      <c r="B28" s="9" t="s">
        <v>12</v>
      </c>
      <c r="C28" s="7">
        <v>1200</v>
      </c>
    </row>
    <row r="29" spans="1:3" ht="15.75" x14ac:dyDescent="0.25">
      <c r="A29" s="43" t="s">
        <v>52</v>
      </c>
      <c r="B29" s="19"/>
      <c r="C29" s="18"/>
    </row>
    <row r="30" spans="1:3" ht="15.75" x14ac:dyDescent="0.25">
      <c r="A30" s="43" t="s">
        <v>53</v>
      </c>
      <c r="B30" s="19"/>
      <c r="C30" s="18"/>
    </row>
    <row r="31" spans="1:3" ht="15.75" x14ac:dyDescent="0.25">
      <c r="A31" s="43" t="s">
        <v>136</v>
      </c>
      <c r="B31" s="19" t="s">
        <v>137</v>
      </c>
      <c r="C31" s="18">
        <v>350000</v>
      </c>
    </row>
    <row r="32" spans="1:3" ht="15.75" x14ac:dyDescent="0.25">
      <c r="A32" s="43"/>
      <c r="B32" s="19"/>
      <c r="C32" s="18"/>
    </row>
    <row r="33" spans="1:3" ht="15.75" x14ac:dyDescent="0.25">
      <c r="A33" s="43"/>
      <c r="B33" s="19"/>
      <c r="C33" s="18"/>
    </row>
    <row r="34" spans="1:3" ht="15.75" x14ac:dyDescent="0.25">
      <c r="A34" s="43"/>
      <c r="B34" s="19"/>
      <c r="C34" s="18"/>
    </row>
    <row r="35" spans="1:3" ht="46.5" x14ac:dyDescent="0.25">
      <c r="A35" s="55" t="s">
        <v>8</v>
      </c>
      <c r="B35" s="19"/>
      <c r="C35" s="18"/>
    </row>
    <row r="36" spans="1:3" ht="15.75" x14ac:dyDescent="0.25">
      <c r="A36" s="43" t="s">
        <v>50</v>
      </c>
      <c r="B36" s="19"/>
      <c r="C36" s="18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workbookViewId="0">
      <selection activeCell="A23" sqref="A23"/>
    </sheetView>
  </sheetViews>
  <sheetFormatPr defaultRowHeight="15" x14ac:dyDescent="0.25"/>
  <cols>
    <col min="1" max="1" width="60.28515625" customWidth="1"/>
    <col min="2" max="2" width="15" style="2" customWidth="1"/>
    <col min="3" max="3" width="15" customWidth="1"/>
  </cols>
  <sheetData>
    <row r="1" spans="1:3" x14ac:dyDescent="0.25">
      <c r="A1" s="4" t="s">
        <v>87</v>
      </c>
      <c r="B1" s="9" t="s">
        <v>87</v>
      </c>
      <c r="C1" s="7">
        <v>0</v>
      </c>
    </row>
    <row r="2" spans="1:3" x14ac:dyDescent="0.25">
      <c r="A2" s="4" t="s">
        <v>26</v>
      </c>
      <c r="B2" s="9" t="s">
        <v>10</v>
      </c>
      <c r="C2" s="7">
        <v>4000</v>
      </c>
    </row>
    <row r="3" spans="1:3" x14ac:dyDescent="0.25">
      <c r="A3" s="13" t="s">
        <v>24</v>
      </c>
      <c r="B3" s="14" t="s">
        <v>11</v>
      </c>
      <c r="C3" s="16">
        <v>28000</v>
      </c>
    </row>
    <row r="4" spans="1:3" x14ac:dyDescent="0.25">
      <c r="A4" s="18" t="s">
        <v>27</v>
      </c>
      <c r="B4" s="19" t="s">
        <v>11</v>
      </c>
      <c r="C4" s="16">
        <v>50000</v>
      </c>
    </row>
    <row r="5" spans="1:3" x14ac:dyDescent="0.25">
      <c r="A5" s="13" t="s">
        <v>25</v>
      </c>
      <c r="B5" s="14" t="s">
        <v>10</v>
      </c>
      <c r="C5" s="16">
        <v>500</v>
      </c>
    </row>
    <row r="6" spans="1:3" x14ac:dyDescent="0.25">
      <c r="A6" s="4" t="s">
        <v>26</v>
      </c>
      <c r="B6" s="9" t="s">
        <v>10</v>
      </c>
      <c r="C6" s="7">
        <v>4000</v>
      </c>
    </row>
    <row r="7" spans="1:3" x14ac:dyDescent="0.25">
      <c r="A7" s="13" t="s">
        <v>24</v>
      </c>
      <c r="B7" s="14" t="s">
        <v>11</v>
      </c>
      <c r="C7" s="16">
        <v>28000</v>
      </c>
    </row>
    <row r="8" spans="1:3" x14ac:dyDescent="0.25">
      <c r="A8" s="13" t="s">
        <v>25</v>
      </c>
      <c r="B8" s="14" t="s">
        <v>10</v>
      </c>
      <c r="C8" s="16">
        <v>500</v>
      </c>
    </row>
    <row r="9" spans="1:3" x14ac:dyDescent="0.25">
      <c r="A9" s="4" t="s">
        <v>28</v>
      </c>
      <c r="B9" s="9" t="s">
        <v>11</v>
      </c>
      <c r="C9" s="7">
        <v>23000</v>
      </c>
    </row>
    <row r="10" spans="1:3" ht="19.5" customHeight="1" x14ac:dyDescent="0.25">
      <c r="A10" s="4" t="s">
        <v>47</v>
      </c>
      <c r="B10" s="9" t="s">
        <v>12</v>
      </c>
      <c r="C10" s="7">
        <v>80</v>
      </c>
    </row>
    <row r="11" spans="1:3" x14ac:dyDescent="0.25">
      <c r="A11" s="4" t="s">
        <v>46</v>
      </c>
      <c r="B11" s="9" t="s">
        <v>10</v>
      </c>
      <c r="C11" s="7">
        <v>5000</v>
      </c>
    </row>
    <row r="12" spans="1:3" x14ac:dyDescent="0.25">
      <c r="A12" s="4" t="s">
        <v>855</v>
      </c>
      <c r="B12" s="9" t="s">
        <v>14</v>
      </c>
      <c r="C12" s="7">
        <v>5000</v>
      </c>
    </row>
    <row r="13" spans="1:3" x14ac:dyDescent="0.25">
      <c r="A13" s="4" t="s">
        <v>858</v>
      </c>
      <c r="B13" s="9" t="s">
        <v>14</v>
      </c>
      <c r="C13" s="7">
        <v>5500</v>
      </c>
    </row>
    <row r="14" spans="1:3" x14ac:dyDescent="0.25">
      <c r="A14" s="4" t="s">
        <v>859</v>
      </c>
      <c r="B14" s="9" t="s">
        <v>14</v>
      </c>
      <c r="C14" s="7">
        <v>4100</v>
      </c>
    </row>
    <row r="15" spans="1:3" x14ac:dyDescent="0.25">
      <c r="A15" s="4" t="s">
        <v>860</v>
      </c>
      <c r="B15" s="9" t="s">
        <v>14</v>
      </c>
      <c r="C15" s="7">
        <v>4600</v>
      </c>
    </row>
    <row r="16" spans="1:3" x14ac:dyDescent="0.25">
      <c r="A16" s="4" t="s">
        <v>856</v>
      </c>
      <c r="B16" s="9" t="s">
        <v>23</v>
      </c>
      <c r="C16" s="7">
        <v>2000</v>
      </c>
    </row>
    <row r="17" spans="1:3" x14ac:dyDescent="0.25">
      <c r="A17" s="4" t="s">
        <v>37</v>
      </c>
      <c r="B17" s="9" t="s">
        <v>10</v>
      </c>
      <c r="C17" s="7">
        <v>500</v>
      </c>
    </row>
    <row r="18" spans="1:3" x14ac:dyDescent="0.25">
      <c r="A18" s="4" t="s">
        <v>78</v>
      </c>
      <c r="B18" s="9" t="s">
        <v>10</v>
      </c>
      <c r="C18" s="16">
        <v>2500</v>
      </c>
    </row>
    <row r="19" spans="1:3" x14ac:dyDescent="0.25">
      <c r="A19" s="4"/>
      <c r="B19" s="9"/>
      <c r="C19" s="7"/>
    </row>
    <row r="20" spans="1:3" x14ac:dyDescent="0.25">
      <c r="A20" s="4"/>
      <c r="B20" s="14"/>
      <c r="C20" s="16"/>
    </row>
    <row r="21" spans="1:3" x14ac:dyDescent="0.25">
      <c r="A21" s="4"/>
      <c r="B21" s="9"/>
      <c r="C21" s="7"/>
    </row>
    <row r="22" spans="1:3" x14ac:dyDescent="0.25">
      <c r="A22" s="4"/>
      <c r="B22" s="9"/>
      <c r="C22" s="7"/>
    </row>
    <row r="23" spans="1:3" x14ac:dyDescent="0.25">
      <c r="A23" s="4"/>
      <c r="B23" s="9"/>
      <c r="C23" s="7"/>
    </row>
    <row r="24" spans="1:3" x14ac:dyDescent="0.25">
      <c r="A24" s="4"/>
      <c r="B24" s="9"/>
      <c r="C24" s="7"/>
    </row>
    <row r="25" spans="1:3" x14ac:dyDescent="0.25">
      <c r="A25" s="4"/>
      <c r="B25" s="9"/>
      <c r="C25" s="7"/>
    </row>
    <row r="26" spans="1:3" x14ac:dyDescent="0.25">
      <c r="A26" s="4"/>
      <c r="B26" s="9"/>
      <c r="C26" s="7"/>
    </row>
    <row r="27" spans="1:3" x14ac:dyDescent="0.25">
      <c r="A27" s="4"/>
      <c r="B27" s="9"/>
      <c r="C27" s="7"/>
    </row>
    <row r="28" spans="1:3" x14ac:dyDescent="0.25">
      <c r="A28" s="4"/>
      <c r="B28" s="9"/>
      <c r="C28" s="7"/>
    </row>
    <row r="29" spans="1:3" x14ac:dyDescent="0.25">
      <c r="A29" s="4"/>
      <c r="B29" s="9"/>
      <c r="C29" s="7"/>
    </row>
    <row r="30" spans="1:3" x14ac:dyDescent="0.25">
      <c r="A30" s="4"/>
      <c r="B30" s="9"/>
      <c r="C30" s="7"/>
    </row>
    <row r="31" spans="1:3" x14ac:dyDescent="0.25">
      <c r="A31" s="4"/>
      <c r="B31" s="9"/>
      <c r="C31" s="7"/>
    </row>
    <row r="32" spans="1:3" x14ac:dyDescent="0.25">
      <c r="A32" s="4"/>
      <c r="B32" s="9"/>
      <c r="C32" s="7"/>
    </row>
    <row r="33" spans="1:8" x14ac:dyDescent="0.25">
      <c r="A33" s="4"/>
      <c r="B33" s="9"/>
      <c r="C33" s="7"/>
    </row>
    <row r="34" spans="1:8" x14ac:dyDescent="0.25">
      <c r="A34" s="4"/>
      <c r="B34" s="9"/>
      <c r="C34" s="7"/>
    </row>
    <row r="35" spans="1:8" ht="16.5" customHeight="1" x14ac:dyDescent="0.25">
      <c r="A35" s="4"/>
      <c r="B35" s="9"/>
      <c r="C35" s="7"/>
    </row>
    <row r="36" spans="1:8" ht="16.5" customHeight="1" x14ac:dyDescent="0.25">
      <c r="A36" s="4"/>
      <c r="B36" s="9"/>
      <c r="C36" s="7"/>
    </row>
    <row r="37" spans="1:8" x14ac:dyDescent="0.25">
      <c r="A37" s="47"/>
      <c r="B37" s="48"/>
      <c r="C37" s="49"/>
    </row>
    <row r="38" spans="1:8" x14ac:dyDescent="0.25">
      <c r="A38" s="47"/>
      <c r="B38" s="48"/>
      <c r="C38" s="49"/>
    </row>
    <row r="39" spans="1:8" ht="29.25" customHeight="1" x14ac:dyDescent="0.25">
      <c r="A39" s="4"/>
      <c r="B39" s="9"/>
      <c r="C39" s="7"/>
    </row>
    <row r="40" spans="1:8" x14ac:dyDescent="0.25">
      <c r="A40" s="4"/>
      <c r="B40" s="9"/>
      <c r="C40" s="7"/>
      <c r="H40" t="s">
        <v>49</v>
      </c>
    </row>
    <row r="41" spans="1:8" x14ac:dyDescent="0.25">
      <c r="A41" s="4"/>
      <c r="B41" s="9"/>
      <c r="C41" s="7"/>
    </row>
    <row r="42" spans="1:8" x14ac:dyDescent="0.25">
      <c r="A42" s="4"/>
      <c r="B42" s="9"/>
      <c r="C42" s="7"/>
    </row>
    <row r="43" spans="1:8" x14ac:dyDescent="0.25">
      <c r="A43" s="4"/>
      <c r="B43" s="9"/>
      <c r="C43" s="7"/>
    </row>
    <row r="44" spans="1:8" x14ac:dyDescent="0.25">
      <c r="A44" s="4"/>
      <c r="B44" s="9"/>
      <c r="C44" s="7"/>
    </row>
    <row r="45" spans="1:8" x14ac:dyDescent="0.25">
      <c r="A45" s="4"/>
      <c r="B45" s="9"/>
      <c r="C45" s="7"/>
    </row>
    <row r="46" spans="1:8" x14ac:dyDescent="0.25">
      <c r="A46" s="4"/>
      <c r="B46" s="9"/>
      <c r="C46" s="7"/>
    </row>
    <row r="47" spans="1:8" ht="15.75" x14ac:dyDescent="0.25">
      <c r="A47" s="20"/>
      <c r="B47" s="21"/>
      <c r="C47" s="7"/>
    </row>
    <row r="48" spans="1:8" ht="15.75" x14ac:dyDescent="0.25">
      <c r="A48" s="20"/>
      <c r="B48" s="21"/>
      <c r="C48" s="7"/>
    </row>
    <row r="49" spans="1:3" ht="15.75" x14ac:dyDescent="0.25">
      <c r="A49" s="20"/>
      <c r="B49" s="21"/>
      <c r="C49" s="7"/>
    </row>
    <row r="50" spans="1:3" ht="15.75" x14ac:dyDescent="0.25">
      <c r="A50" s="20"/>
      <c r="B50" s="21"/>
      <c r="C50" s="7"/>
    </row>
    <row r="51" spans="1:3" ht="15.75" x14ac:dyDescent="0.25">
      <c r="A51" s="20"/>
      <c r="B51" s="21"/>
      <c r="C51" s="7"/>
    </row>
    <row r="52" spans="1:3" ht="15.75" x14ac:dyDescent="0.25">
      <c r="A52" s="20"/>
      <c r="B52" s="21"/>
      <c r="C52" s="7"/>
    </row>
    <row r="53" spans="1:3" ht="15.75" x14ac:dyDescent="0.25">
      <c r="A53" s="22"/>
      <c r="B53" s="21"/>
      <c r="C53" s="7"/>
    </row>
    <row r="54" spans="1:3" ht="15.75" x14ac:dyDescent="0.25">
      <c r="A54" s="22"/>
      <c r="B54" s="21"/>
      <c r="C54" s="7"/>
    </row>
    <row r="55" spans="1:3" x14ac:dyDescent="0.25">
      <c r="B55"/>
    </row>
    <row r="56" spans="1:3" x14ac:dyDescent="0.25">
      <c r="B56"/>
    </row>
    <row r="57" spans="1:3" x14ac:dyDescent="0.25">
      <c r="B57"/>
    </row>
    <row r="58" spans="1:3" x14ac:dyDescent="0.25">
      <c r="B58"/>
    </row>
    <row r="59" spans="1:3" x14ac:dyDescent="0.25">
      <c r="B5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C11" sqref="C11"/>
    </sheetView>
  </sheetViews>
  <sheetFormatPr defaultRowHeight="15" x14ac:dyDescent="0.25"/>
  <cols>
    <col min="1" max="1" width="60.28515625" customWidth="1"/>
    <col min="2" max="2" width="15" style="2" customWidth="1"/>
    <col min="3" max="3" width="15" customWidth="1"/>
  </cols>
  <sheetData>
    <row r="1" spans="1:3" x14ac:dyDescent="0.25">
      <c r="A1" s="4" t="s">
        <v>87</v>
      </c>
      <c r="B1" s="9" t="s">
        <v>87</v>
      </c>
      <c r="C1" s="7">
        <v>0</v>
      </c>
    </row>
    <row r="2" spans="1:3" x14ac:dyDescent="0.25">
      <c r="A2" s="4" t="s">
        <v>46</v>
      </c>
      <c r="B2" s="9" t="s">
        <v>10</v>
      </c>
      <c r="C2" s="7">
        <v>5000</v>
      </c>
    </row>
    <row r="3" spans="1:3" x14ac:dyDescent="0.25">
      <c r="A3" s="4" t="s">
        <v>37</v>
      </c>
      <c r="B3" s="9" t="s">
        <v>10</v>
      </c>
      <c r="C3" s="7">
        <v>500</v>
      </c>
    </row>
    <row r="4" spans="1:3" x14ac:dyDescent="0.25">
      <c r="A4" s="4" t="s">
        <v>29</v>
      </c>
      <c r="B4" s="9" t="s">
        <v>10</v>
      </c>
      <c r="C4" s="7">
        <v>600</v>
      </c>
    </row>
    <row r="5" spans="1:3" x14ac:dyDescent="0.25">
      <c r="A5" s="4" t="s">
        <v>31</v>
      </c>
      <c r="B5" s="9" t="s">
        <v>10</v>
      </c>
      <c r="C5" s="7">
        <v>250</v>
      </c>
    </row>
    <row r="6" spans="1:3" x14ac:dyDescent="0.25">
      <c r="A6" s="4" t="s">
        <v>26</v>
      </c>
      <c r="B6" s="9" t="s">
        <v>10</v>
      </c>
      <c r="C6" s="7">
        <v>4000</v>
      </c>
    </row>
    <row r="7" spans="1:3" x14ac:dyDescent="0.25">
      <c r="A7" s="4" t="s">
        <v>36</v>
      </c>
      <c r="B7" s="9" t="s">
        <v>10</v>
      </c>
      <c r="C7" s="7">
        <v>1800</v>
      </c>
    </row>
    <row r="8" spans="1:3" x14ac:dyDescent="0.25">
      <c r="A8" s="4" t="s">
        <v>24</v>
      </c>
      <c r="B8" s="14" t="s">
        <v>11</v>
      </c>
      <c r="C8" s="16">
        <v>28000</v>
      </c>
    </row>
    <row r="9" spans="1:3" x14ac:dyDescent="0.25">
      <c r="A9" s="13" t="s">
        <v>961</v>
      </c>
      <c r="B9" s="14" t="s">
        <v>10</v>
      </c>
      <c r="C9" s="16">
        <v>2900</v>
      </c>
    </row>
    <row r="10" spans="1:3" x14ac:dyDescent="0.25">
      <c r="A10" s="4" t="s">
        <v>962</v>
      </c>
      <c r="B10" s="9" t="s">
        <v>12</v>
      </c>
      <c r="C10" s="7">
        <v>130</v>
      </c>
    </row>
    <row r="11" spans="1:3" x14ac:dyDescent="0.25">
      <c r="A11" s="13"/>
      <c r="B11" s="14"/>
      <c r="C11" s="16"/>
    </row>
    <row r="12" spans="1:3" x14ac:dyDescent="0.25">
      <c r="A12" s="4"/>
      <c r="B12" s="9"/>
      <c r="C12" s="16"/>
    </row>
    <row r="13" spans="1:3" x14ac:dyDescent="0.25">
      <c r="A13" s="13"/>
      <c r="B13" s="14"/>
      <c r="C13" s="16"/>
    </row>
    <row r="14" spans="1:3" x14ac:dyDescent="0.25">
      <c r="A14" s="4"/>
      <c r="B14" s="9"/>
      <c r="C14" s="7"/>
    </row>
    <row r="15" spans="1:3" x14ac:dyDescent="0.25">
      <c r="A15" s="4"/>
      <c r="B15" s="9"/>
      <c r="C15" s="7"/>
    </row>
    <row r="16" spans="1:3" x14ac:dyDescent="0.25">
      <c r="A16" s="4"/>
      <c r="B16" s="9"/>
      <c r="C16" s="7"/>
    </row>
    <row r="17" spans="1:3" x14ac:dyDescent="0.25">
      <c r="A17" s="4"/>
      <c r="B17" s="9"/>
      <c r="C17" s="7"/>
    </row>
    <row r="18" spans="1:3" x14ac:dyDescent="0.25">
      <c r="A18" s="4"/>
      <c r="B18" s="9"/>
      <c r="C18" s="7"/>
    </row>
    <row r="19" spans="1:3" x14ac:dyDescent="0.25">
      <c r="A19" s="4"/>
      <c r="B19" s="9"/>
      <c r="C19" s="7"/>
    </row>
    <row r="20" spans="1:3" x14ac:dyDescent="0.25">
      <c r="A20" s="4"/>
      <c r="B20" s="9"/>
      <c r="C20" s="7"/>
    </row>
    <row r="21" spans="1:3" x14ac:dyDescent="0.25">
      <c r="A21" s="4"/>
      <c r="B21" s="9"/>
      <c r="C21" s="7"/>
    </row>
    <row r="22" spans="1:3" x14ac:dyDescent="0.25">
      <c r="A22" s="4"/>
      <c r="B22" s="14"/>
      <c r="C22" s="16"/>
    </row>
    <row r="23" spans="1:3" x14ac:dyDescent="0.25">
      <c r="A23" s="4"/>
      <c r="B23" s="9"/>
      <c r="C23" s="7"/>
    </row>
    <row r="24" spans="1:3" x14ac:dyDescent="0.25">
      <c r="A24" s="4"/>
      <c r="B24" s="9"/>
      <c r="C24" s="7"/>
    </row>
    <row r="25" spans="1:3" x14ac:dyDescent="0.25">
      <c r="A25" s="4"/>
      <c r="B25" s="9"/>
      <c r="C25" s="7"/>
    </row>
    <row r="26" spans="1:3" x14ac:dyDescent="0.25">
      <c r="A26" s="4"/>
      <c r="B26" s="9"/>
      <c r="C26" s="7"/>
    </row>
    <row r="27" spans="1:3" x14ac:dyDescent="0.25">
      <c r="A27" s="4"/>
      <c r="B27" s="9"/>
      <c r="C27" s="7"/>
    </row>
    <row r="28" spans="1:3" x14ac:dyDescent="0.25">
      <c r="A28" s="4"/>
      <c r="B28" s="9"/>
      <c r="C28" s="7"/>
    </row>
    <row r="29" spans="1:3" x14ac:dyDescent="0.25">
      <c r="A29" s="4"/>
      <c r="B29" s="9"/>
      <c r="C29" s="7"/>
    </row>
    <row r="30" spans="1:3" x14ac:dyDescent="0.25">
      <c r="A30" s="4"/>
      <c r="B30" s="9"/>
      <c r="C30" s="7"/>
    </row>
    <row r="31" spans="1:3" x14ac:dyDescent="0.25">
      <c r="A31" s="4"/>
      <c r="B31" s="9"/>
      <c r="C31" s="7"/>
    </row>
    <row r="32" spans="1:3" x14ac:dyDescent="0.25">
      <c r="A32" s="4"/>
      <c r="B32" s="9"/>
      <c r="C32" s="7"/>
    </row>
    <row r="33" spans="1:8" x14ac:dyDescent="0.25">
      <c r="A33" s="4"/>
      <c r="B33" s="9"/>
      <c r="C33" s="7"/>
    </row>
    <row r="34" spans="1:8" x14ac:dyDescent="0.25">
      <c r="A34" s="4"/>
      <c r="B34" s="9"/>
      <c r="C34" s="7"/>
    </row>
    <row r="35" spans="1:8" x14ac:dyDescent="0.25">
      <c r="A35" s="4"/>
      <c r="B35" s="9"/>
      <c r="C35" s="7"/>
    </row>
    <row r="36" spans="1:8" x14ac:dyDescent="0.25">
      <c r="A36" s="4"/>
      <c r="B36" s="9"/>
      <c r="C36" s="7"/>
    </row>
    <row r="37" spans="1:8" ht="16.5" customHeight="1" x14ac:dyDescent="0.25">
      <c r="A37" s="4"/>
      <c r="B37" s="9"/>
      <c r="C37" s="7"/>
    </row>
    <row r="38" spans="1:8" ht="16.5" customHeight="1" x14ac:dyDescent="0.25">
      <c r="A38" s="4"/>
      <c r="B38" s="9"/>
      <c r="C38" s="7"/>
    </row>
    <row r="39" spans="1:8" x14ac:dyDescent="0.25">
      <c r="A39" s="47"/>
      <c r="B39" s="48"/>
      <c r="C39" s="49"/>
    </row>
    <row r="40" spans="1:8" x14ac:dyDescent="0.25">
      <c r="A40" s="47"/>
      <c r="B40" s="48"/>
      <c r="C40" s="49"/>
    </row>
    <row r="41" spans="1:8" ht="29.25" customHeight="1" x14ac:dyDescent="0.25">
      <c r="A41" s="4"/>
      <c r="B41" s="9"/>
      <c r="C41" s="7"/>
    </row>
    <row r="42" spans="1:8" x14ac:dyDescent="0.25">
      <c r="A42" s="4"/>
      <c r="B42" s="9"/>
      <c r="C42" s="7"/>
      <c r="H42" t="s">
        <v>49</v>
      </c>
    </row>
    <row r="43" spans="1:8" x14ac:dyDescent="0.25">
      <c r="A43" s="4"/>
      <c r="B43" s="9"/>
      <c r="C43" s="7"/>
    </row>
    <row r="44" spans="1:8" x14ac:dyDescent="0.25">
      <c r="A44" s="4"/>
      <c r="B44" s="9"/>
      <c r="C44" s="7"/>
    </row>
    <row r="45" spans="1:8" x14ac:dyDescent="0.25">
      <c r="A45" s="4"/>
      <c r="B45" s="9"/>
      <c r="C45" s="7"/>
    </row>
    <row r="46" spans="1:8" x14ac:dyDescent="0.25">
      <c r="A46" s="4"/>
      <c r="B46" s="9"/>
      <c r="C46" s="7"/>
    </row>
    <row r="47" spans="1:8" x14ac:dyDescent="0.25">
      <c r="A47" s="4"/>
      <c r="B47" s="9"/>
      <c r="C47" s="7"/>
    </row>
    <row r="48" spans="1:8" x14ac:dyDescent="0.25">
      <c r="A48" s="4"/>
      <c r="B48" s="9"/>
      <c r="C48" s="7"/>
    </row>
    <row r="49" spans="1:3" ht="15.75" x14ac:dyDescent="0.25">
      <c r="A49" s="20"/>
      <c r="B49" s="21"/>
      <c r="C49" s="7"/>
    </row>
    <row r="50" spans="1:3" ht="15.75" x14ac:dyDescent="0.25">
      <c r="A50" s="20"/>
      <c r="B50" s="21"/>
      <c r="C50" s="7"/>
    </row>
    <row r="51" spans="1:3" ht="15.75" x14ac:dyDescent="0.25">
      <c r="A51" s="20"/>
      <c r="B51" s="21"/>
      <c r="C51" s="7"/>
    </row>
    <row r="52" spans="1:3" ht="15.75" x14ac:dyDescent="0.25">
      <c r="A52" s="20"/>
      <c r="B52" s="21"/>
      <c r="C52" s="7"/>
    </row>
    <row r="53" spans="1:3" ht="15.75" x14ac:dyDescent="0.25">
      <c r="A53" s="20"/>
      <c r="B53" s="21"/>
      <c r="C53" s="7"/>
    </row>
    <row r="54" spans="1:3" ht="15.75" x14ac:dyDescent="0.25">
      <c r="A54" s="20"/>
      <c r="B54" s="21"/>
      <c r="C54" s="7"/>
    </row>
    <row r="55" spans="1:3" ht="15.75" x14ac:dyDescent="0.25">
      <c r="A55" s="22"/>
      <c r="B55" s="21"/>
      <c r="C55" s="7"/>
    </row>
    <row r="56" spans="1:3" ht="15.75" x14ac:dyDescent="0.25">
      <c r="A56" s="22"/>
      <c r="B56" s="21"/>
      <c r="C56" s="7"/>
    </row>
    <row r="57" spans="1:3" x14ac:dyDescent="0.25">
      <c r="B57"/>
    </row>
    <row r="58" spans="1:3" x14ac:dyDescent="0.25">
      <c r="B58"/>
    </row>
    <row r="59" spans="1:3" x14ac:dyDescent="0.25">
      <c r="B59"/>
    </row>
    <row r="60" spans="1:3" x14ac:dyDescent="0.25">
      <c r="B60"/>
    </row>
    <row r="61" spans="1:3" x14ac:dyDescent="0.25">
      <c r="B61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C7" sqref="C7"/>
    </sheetView>
  </sheetViews>
  <sheetFormatPr defaultRowHeight="15" x14ac:dyDescent="0.25"/>
  <cols>
    <col min="1" max="1" width="60.28515625" customWidth="1"/>
    <col min="2" max="2" width="15" style="2" customWidth="1"/>
    <col min="3" max="3" width="15" customWidth="1"/>
  </cols>
  <sheetData>
    <row r="1" spans="1:3" x14ac:dyDescent="0.25">
      <c r="A1" s="4" t="s">
        <v>87</v>
      </c>
      <c r="B1" s="9" t="s">
        <v>87</v>
      </c>
      <c r="C1" s="7">
        <v>0</v>
      </c>
    </row>
    <row r="2" spans="1:3" x14ac:dyDescent="0.25">
      <c r="A2" s="4" t="s">
        <v>6</v>
      </c>
      <c r="B2" s="9" t="s">
        <v>11</v>
      </c>
      <c r="C2" s="7">
        <v>42000</v>
      </c>
    </row>
    <row r="3" spans="1:3" x14ac:dyDescent="0.25">
      <c r="A3" s="4" t="s">
        <v>80</v>
      </c>
      <c r="B3" s="9" t="s">
        <v>11</v>
      </c>
      <c r="C3" s="7">
        <v>7000</v>
      </c>
    </row>
    <row r="4" spans="1:3" x14ac:dyDescent="0.25">
      <c r="A4" s="4" t="s">
        <v>81</v>
      </c>
      <c r="B4" s="9" t="s">
        <v>13</v>
      </c>
      <c r="C4" s="7">
        <v>10000</v>
      </c>
    </row>
    <row r="5" spans="1:3" x14ac:dyDescent="0.25">
      <c r="A5" s="4" t="s">
        <v>79</v>
      </c>
      <c r="B5" s="9" t="s">
        <v>11</v>
      </c>
      <c r="C5" s="7">
        <v>42000</v>
      </c>
    </row>
    <row r="6" spans="1:3" x14ac:dyDescent="0.25">
      <c r="A6" s="4" t="s">
        <v>969</v>
      </c>
      <c r="B6" s="14" t="s">
        <v>11</v>
      </c>
      <c r="C6" s="16">
        <v>42000</v>
      </c>
    </row>
    <row r="7" spans="1:3" x14ac:dyDescent="0.25">
      <c r="A7" s="18"/>
      <c r="B7" s="19"/>
      <c r="C7" s="16"/>
    </row>
    <row r="8" spans="1:3" x14ac:dyDescent="0.25">
      <c r="A8" s="4"/>
      <c r="B8" s="9"/>
      <c r="C8" s="16"/>
    </row>
    <row r="9" spans="1:3" x14ac:dyDescent="0.25">
      <c r="A9" s="13"/>
      <c r="B9" s="14"/>
      <c r="C9" s="16"/>
    </row>
    <row r="10" spans="1:3" x14ac:dyDescent="0.25">
      <c r="A10" s="4"/>
      <c r="B10" s="9"/>
      <c r="C10" s="7"/>
    </row>
    <row r="11" spans="1:3" x14ac:dyDescent="0.25">
      <c r="A11" s="13"/>
      <c r="B11" s="14"/>
      <c r="C11" s="16"/>
    </row>
    <row r="12" spans="1:3" x14ac:dyDescent="0.25">
      <c r="A12" s="4"/>
      <c r="B12" s="9"/>
      <c r="C12" s="16"/>
    </row>
    <row r="13" spans="1:3" x14ac:dyDescent="0.25">
      <c r="A13" s="13"/>
      <c r="B13" s="14"/>
      <c r="C13" s="16"/>
    </row>
    <row r="14" spans="1:3" x14ac:dyDescent="0.25">
      <c r="A14" s="4"/>
      <c r="B14" s="9"/>
      <c r="C14" s="7"/>
    </row>
    <row r="15" spans="1:3" x14ac:dyDescent="0.25">
      <c r="A15" s="4"/>
      <c r="B15" s="9"/>
      <c r="C15" s="7"/>
    </row>
    <row r="16" spans="1:3" x14ac:dyDescent="0.25">
      <c r="A16" s="4"/>
      <c r="B16" s="9"/>
      <c r="C16" s="7"/>
    </row>
    <row r="17" spans="1:3" x14ac:dyDescent="0.25">
      <c r="A17" s="4"/>
      <c r="B17" s="9"/>
      <c r="C17" s="7"/>
    </row>
    <row r="18" spans="1:3" x14ac:dyDescent="0.25">
      <c r="A18" s="4"/>
      <c r="B18" s="9"/>
      <c r="C18" s="7"/>
    </row>
    <row r="19" spans="1:3" x14ac:dyDescent="0.25">
      <c r="A19" s="4"/>
      <c r="B19" s="9"/>
      <c r="C19" s="7"/>
    </row>
    <row r="20" spans="1:3" x14ac:dyDescent="0.25">
      <c r="A20" s="4"/>
      <c r="B20" s="9"/>
      <c r="C20" s="7"/>
    </row>
    <row r="21" spans="1:3" x14ac:dyDescent="0.25">
      <c r="A21" s="4"/>
      <c r="B21" s="9"/>
      <c r="C21" s="7"/>
    </row>
    <row r="22" spans="1:3" x14ac:dyDescent="0.25">
      <c r="A22" s="4"/>
      <c r="B22" s="14"/>
      <c r="C22" s="16"/>
    </row>
    <row r="23" spans="1:3" x14ac:dyDescent="0.25">
      <c r="A23" s="4"/>
      <c r="B23" s="9"/>
      <c r="C23" s="7"/>
    </row>
    <row r="24" spans="1:3" x14ac:dyDescent="0.25">
      <c r="A24" s="4"/>
      <c r="B24" s="9"/>
      <c r="C24" s="7"/>
    </row>
    <row r="25" spans="1:3" x14ac:dyDescent="0.25">
      <c r="A25" s="4"/>
      <c r="B25" s="9"/>
      <c r="C25" s="7"/>
    </row>
    <row r="26" spans="1:3" x14ac:dyDescent="0.25">
      <c r="A26" s="4"/>
      <c r="B26" s="9"/>
      <c r="C26" s="7"/>
    </row>
    <row r="27" spans="1:3" x14ac:dyDescent="0.25">
      <c r="A27" s="4"/>
      <c r="B27" s="9"/>
      <c r="C27" s="7"/>
    </row>
    <row r="28" spans="1:3" x14ac:dyDescent="0.25">
      <c r="A28" s="4"/>
      <c r="B28" s="9"/>
      <c r="C28" s="7"/>
    </row>
    <row r="29" spans="1:3" x14ac:dyDescent="0.25">
      <c r="A29" s="4"/>
      <c r="B29" s="9"/>
      <c r="C29" s="7"/>
    </row>
    <row r="30" spans="1:3" x14ac:dyDescent="0.25">
      <c r="A30" s="4"/>
      <c r="B30" s="9"/>
      <c r="C30" s="7"/>
    </row>
    <row r="31" spans="1:3" x14ac:dyDescent="0.25">
      <c r="A31" s="4"/>
      <c r="B31" s="9"/>
      <c r="C31" s="7"/>
    </row>
    <row r="32" spans="1:3" x14ac:dyDescent="0.25">
      <c r="A32" s="4"/>
      <c r="B32" s="9"/>
      <c r="C32" s="7"/>
    </row>
    <row r="33" spans="1:8" x14ac:dyDescent="0.25">
      <c r="A33" s="4"/>
      <c r="B33" s="9"/>
      <c r="C33" s="7"/>
    </row>
    <row r="34" spans="1:8" x14ac:dyDescent="0.25">
      <c r="A34" s="4"/>
      <c r="B34" s="9"/>
      <c r="C34" s="7"/>
    </row>
    <row r="35" spans="1:8" x14ac:dyDescent="0.25">
      <c r="A35" s="4"/>
      <c r="B35" s="9"/>
      <c r="C35" s="7"/>
    </row>
    <row r="36" spans="1:8" x14ac:dyDescent="0.25">
      <c r="A36" s="4"/>
      <c r="B36" s="9"/>
      <c r="C36" s="7"/>
    </row>
    <row r="37" spans="1:8" ht="16.5" customHeight="1" x14ac:dyDescent="0.25">
      <c r="A37" s="4"/>
      <c r="B37" s="9"/>
      <c r="C37" s="7"/>
    </row>
    <row r="38" spans="1:8" ht="16.5" customHeight="1" x14ac:dyDescent="0.25">
      <c r="A38" s="4"/>
      <c r="B38" s="9"/>
      <c r="C38" s="7"/>
    </row>
    <row r="39" spans="1:8" x14ac:dyDescent="0.25">
      <c r="A39" s="47"/>
      <c r="B39" s="48"/>
      <c r="C39" s="49"/>
    </row>
    <row r="40" spans="1:8" x14ac:dyDescent="0.25">
      <c r="A40" s="47"/>
      <c r="B40" s="48"/>
      <c r="C40" s="49"/>
    </row>
    <row r="41" spans="1:8" ht="29.25" customHeight="1" x14ac:dyDescent="0.25">
      <c r="A41" s="4"/>
      <c r="B41" s="9"/>
      <c r="C41" s="7"/>
    </row>
    <row r="42" spans="1:8" x14ac:dyDescent="0.25">
      <c r="A42" s="4"/>
      <c r="B42" s="9"/>
      <c r="C42" s="7"/>
      <c r="H42" t="s">
        <v>49</v>
      </c>
    </row>
    <row r="43" spans="1:8" x14ac:dyDescent="0.25">
      <c r="A43" s="4"/>
      <c r="B43" s="9"/>
      <c r="C43" s="7"/>
    </row>
    <row r="44" spans="1:8" x14ac:dyDescent="0.25">
      <c r="A44" s="4"/>
      <c r="B44" s="9"/>
      <c r="C44" s="7"/>
    </row>
    <row r="45" spans="1:8" x14ac:dyDescent="0.25">
      <c r="A45" s="4"/>
      <c r="B45" s="9"/>
      <c r="C45" s="7"/>
    </row>
    <row r="46" spans="1:8" x14ac:dyDescent="0.25">
      <c r="A46" s="4"/>
      <c r="B46" s="9"/>
      <c r="C46" s="7"/>
    </row>
    <row r="47" spans="1:8" x14ac:dyDescent="0.25">
      <c r="A47" s="4"/>
      <c r="B47" s="9"/>
      <c r="C47" s="7"/>
    </row>
    <row r="48" spans="1:8" x14ac:dyDescent="0.25">
      <c r="A48" s="4"/>
      <c r="B48" s="9"/>
      <c r="C48" s="7"/>
    </row>
    <row r="49" spans="1:3" ht="15.75" x14ac:dyDescent="0.25">
      <c r="A49" s="20"/>
      <c r="B49" s="21"/>
      <c r="C49" s="7"/>
    </row>
    <row r="50" spans="1:3" ht="15.75" x14ac:dyDescent="0.25">
      <c r="A50" s="20"/>
      <c r="B50" s="21"/>
      <c r="C50" s="7"/>
    </row>
    <row r="51" spans="1:3" ht="15.75" x14ac:dyDescent="0.25">
      <c r="A51" s="20"/>
      <c r="B51" s="21"/>
      <c r="C51" s="7"/>
    </row>
    <row r="52" spans="1:3" ht="15.75" x14ac:dyDescent="0.25">
      <c r="A52" s="20"/>
      <c r="B52" s="21"/>
      <c r="C52" s="7"/>
    </row>
    <row r="53" spans="1:3" ht="15.75" x14ac:dyDescent="0.25">
      <c r="A53" s="20"/>
      <c r="B53" s="21"/>
      <c r="C53" s="7"/>
    </row>
    <row r="54" spans="1:3" ht="15.75" x14ac:dyDescent="0.25">
      <c r="A54" s="20"/>
      <c r="B54" s="21"/>
      <c r="C54" s="7"/>
    </row>
    <row r="55" spans="1:3" ht="15.75" x14ac:dyDescent="0.25">
      <c r="A55" s="22"/>
      <c r="B55" s="21"/>
      <c r="C55" s="7"/>
    </row>
    <row r="56" spans="1:3" ht="15.75" x14ac:dyDescent="0.25">
      <c r="A56" s="22"/>
      <c r="B56" s="21"/>
      <c r="C56" s="7"/>
    </row>
    <row r="57" spans="1:3" x14ac:dyDescent="0.25">
      <c r="B57"/>
    </row>
    <row r="58" spans="1:3" x14ac:dyDescent="0.25">
      <c r="B58"/>
    </row>
    <row r="59" spans="1:3" x14ac:dyDescent="0.25">
      <c r="B59"/>
    </row>
    <row r="60" spans="1:3" x14ac:dyDescent="0.25">
      <c r="B60"/>
    </row>
    <row r="61" spans="1:3" x14ac:dyDescent="0.25">
      <c r="B61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workbookViewId="0">
      <selection activeCell="A15" sqref="A15:C15"/>
    </sheetView>
  </sheetViews>
  <sheetFormatPr defaultRowHeight="15" x14ac:dyDescent="0.25"/>
  <cols>
    <col min="1" max="1" width="63.7109375" customWidth="1"/>
    <col min="2" max="2" width="15" style="2" customWidth="1"/>
    <col min="3" max="3" width="15" customWidth="1"/>
  </cols>
  <sheetData>
    <row r="1" spans="1:4" x14ac:dyDescent="0.25">
      <c r="A1" s="4" t="s">
        <v>87</v>
      </c>
      <c r="B1" s="9" t="s">
        <v>87</v>
      </c>
      <c r="C1" s="7">
        <v>0</v>
      </c>
      <c r="D1">
        <v>1</v>
      </c>
    </row>
    <row r="2" spans="1:4" x14ac:dyDescent="0.25">
      <c r="A2" s="4" t="s">
        <v>30</v>
      </c>
      <c r="B2" s="9" t="s">
        <v>13</v>
      </c>
      <c r="C2" s="7">
        <v>240</v>
      </c>
      <c r="D2">
        <v>1</v>
      </c>
    </row>
    <row r="3" spans="1:4" x14ac:dyDescent="0.25">
      <c r="A3" s="4" t="s">
        <v>85</v>
      </c>
      <c r="B3" s="9" t="s">
        <v>12</v>
      </c>
      <c r="C3" s="7">
        <v>160</v>
      </c>
      <c r="D3">
        <v>1</v>
      </c>
    </row>
    <row r="4" spans="1:4" x14ac:dyDescent="0.25">
      <c r="A4" s="4" t="s">
        <v>929</v>
      </c>
      <c r="B4" s="9" t="s">
        <v>869</v>
      </c>
      <c r="C4" s="7">
        <v>2000</v>
      </c>
      <c r="D4">
        <v>1</v>
      </c>
    </row>
    <row r="5" spans="1:4" x14ac:dyDescent="0.25">
      <c r="A5" s="4" t="s">
        <v>930</v>
      </c>
      <c r="B5" s="9" t="s">
        <v>869</v>
      </c>
      <c r="C5" s="7">
        <v>2000</v>
      </c>
      <c r="D5">
        <v>1</v>
      </c>
    </row>
    <row r="6" spans="1:4" x14ac:dyDescent="0.25">
      <c r="A6" s="4" t="s">
        <v>931</v>
      </c>
      <c r="B6" s="9" t="s">
        <v>869</v>
      </c>
      <c r="C6" s="7">
        <v>3000</v>
      </c>
      <c r="D6">
        <v>1</v>
      </c>
    </row>
    <row r="7" spans="1:4" x14ac:dyDescent="0.25">
      <c r="A7" s="4" t="s">
        <v>965</v>
      </c>
      <c r="B7" s="9" t="s">
        <v>10</v>
      </c>
      <c r="C7" s="7">
        <v>1500</v>
      </c>
    </row>
    <row r="8" spans="1:4" x14ac:dyDescent="0.25">
      <c r="A8" s="4" t="s">
        <v>966</v>
      </c>
      <c r="B8" s="9" t="s">
        <v>967</v>
      </c>
      <c r="C8" s="7">
        <v>3500</v>
      </c>
    </row>
    <row r="9" spans="1:4" x14ac:dyDescent="0.25">
      <c r="A9" s="4" t="s">
        <v>932</v>
      </c>
      <c r="B9" s="9" t="s">
        <v>933</v>
      </c>
      <c r="C9" s="7">
        <v>2000</v>
      </c>
      <c r="D9">
        <v>1</v>
      </c>
    </row>
    <row r="10" spans="1:4" x14ac:dyDescent="0.25">
      <c r="A10" s="4" t="s">
        <v>963</v>
      </c>
      <c r="B10" s="9" t="s">
        <v>14</v>
      </c>
      <c r="C10" s="7">
        <v>9.5</v>
      </c>
    </row>
    <row r="11" spans="1:4" x14ac:dyDescent="0.25">
      <c r="A11" s="4" t="s">
        <v>961</v>
      </c>
      <c r="B11" s="9" t="s">
        <v>10</v>
      </c>
      <c r="C11" s="7">
        <v>2900</v>
      </c>
    </row>
    <row r="12" spans="1:4" x14ac:dyDescent="0.25">
      <c r="A12" s="4" t="s">
        <v>964</v>
      </c>
      <c r="B12" s="9" t="s">
        <v>12</v>
      </c>
      <c r="C12" s="7">
        <v>190</v>
      </c>
    </row>
    <row r="13" spans="1:4" x14ac:dyDescent="0.25">
      <c r="A13" s="4" t="s">
        <v>82</v>
      </c>
      <c r="B13" s="9" t="s">
        <v>12</v>
      </c>
      <c r="C13" s="7">
        <v>1300</v>
      </c>
      <c r="D13">
        <v>1</v>
      </c>
    </row>
    <row r="14" spans="1:4" x14ac:dyDescent="0.25">
      <c r="A14" s="4" t="s">
        <v>83</v>
      </c>
      <c r="B14" s="9" t="s">
        <v>12</v>
      </c>
      <c r="C14" s="7">
        <v>1500</v>
      </c>
      <c r="D14">
        <v>1</v>
      </c>
    </row>
    <row r="15" spans="1:4" x14ac:dyDescent="0.25">
      <c r="A15" s="4" t="s">
        <v>968</v>
      </c>
      <c r="B15" s="9" t="s">
        <v>12</v>
      </c>
      <c r="C15" s="7">
        <v>1850</v>
      </c>
    </row>
    <row r="16" spans="1:4" x14ac:dyDescent="0.25">
      <c r="A16" s="4" t="s">
        <v>84</v>
      </c>
      <c r="B16" s="9" t="s">
        <v>12</v>
      </c>
      <c r="C16" s="7">
        <v>1100</v>
      </c>
      <c r="D16">
        <v>1</v>
      </c>
    </row>
    <row r="17" spans="1:4" x14ac:dyDescent="0.25">
      <c r="A17" s="4" t="s">
        <v>861</v>
      </c>
      <c r="B17" s="14" t="s">
        <v>869</v>
      </c>
      <c r="C17" s="16">
        <f>135000*D18</f>
        <v>141750</v>
      </c>
      <c r="D17">
        <v>1.05</v>
      </c>
    </row>
    <row r="18" spans="1:4" x14ac:dyDescent="0.25">
      <c r="A18" s="13" t="s">
        <v>862</v>
      </c>
      <c r="B18" s="14" t="s">
        <v>869</v>
      </c>
      <c r="C18" s="7">
        <f>118800*D19</f>
        <v>124740</v>
      </c>
      <c r="D18">
        <v>1.05</v>
      </c>
    </row>
    <row r="19" spans="1:4" x14ac:dyDescent="0.25">
      <c r="A19" s="13" t="s">
        <v>863</v>
      </c>
      <c r="B19" s="14" t="s">
        <v>869</v>
      </c>
      <c r="C19" s="16">
        <f>128250*D20</f>
        <v>134662.5</v>
      </c>
      <c r="D19">
        <v>1.05</v>
      </c>
    </row>
    <row r="20" spans="1:4" x14ac:dyDescent="0.25">
      <c r="A20" s="13" t="s">
        <v>864</v>
      </c>
      <c r="B20" s="14" t="s">
        <v>869</v>
      </c>
      <c r="C20" s="16">
        <f>101250*D21</f>
        <v>106312.5</v>
      </c>
      <c r="D20">
        <v>1.05</v>
      </c>
    </row>
    <row r="21" spans="1:4" x14ac:dyDescent="0.25">
      <c r="A21" s="13" t="s">
        <v>865</v>
      </c>
      <c r="B21" s="14" t="s">
        <v>869</v>
      </c>
      <c r="C21" s="16">
        <f>114750*D22</f>
        <v>120487.5</v>
      </c>
      <c r="D21">
        <v>1.05</v>
      </c>
    </row>
    <row r="22" spans="1:4" x14ac:dyDescent="0.25">
      <c r="A22" s="13" t="s">
        <v>866</v>
      </c>
      <c r="B22" s="14" t="s">
        <v>869</v>
      </c>
      <c r="C22" s="7">
        <f>109350*D23</f>
        <v>114817.5</v>
      </c>
      <c r="D22">
        <v>1.05</v>
      </c>
    </row>
    <row r="23" spans="1:4" x14ac:dyDescent="0.25">
      <c r="A23" s="13" t="s">
        <v>867</v>
      </c>
      <c r="B23" s="14" t="s">
        <v>869</v>
      </c>
      <c r="C23" s="7">
        <f>97200*D24</f>
        <v>102060</v>
      </c>
      <c r="D23">
        <v>1.05</v>
      </c>
    </row>
    <row r="24" spans="1:4" x14ac:dyDescent="0.25">
      <c r="A24" s="13" t="s">
        <v>868</v>
      </c>
      <c r="B24" s="14" t="s">
        <v>869</v>
      </c>
      <c r="C24" s="7">
        <f>108000*D24</f>
        <v>113400</v>
      </c>
      <c r="D24">
        <v>1.05</v>
      </c>
    </row>
    <row r="25" spans="1:4" x14ac:dyDescent="0.25">
      <c r="A25" s="13" t="s">
        <v>886</v>
      </c>
      <c r="B25" s="14" t="s">
        <v>12</v>
      </c>
      <c r="C25" s="7">
        <f>2650*D25</f>
        <v>2782.5</v>
      </c>
      <c r="D25">
        <v>1.05</v>
      </c>
    </row>
    <row r="26" spans="1:4" x14ac:dyDescent="0.25">
      <c r="A26" s="13" t="s">
        <v>887</v>
      </c>
      <c r="B26" s="14" t="s">
        <v>12</v>
      </c>
      <c r="C26" s="7">
        <f>2650*D26</f>
        <v>2782.5</v>
      </c>
      <c r="D26">
        <v>1.05</v>
      </c>
    </row>
    <row r="27" spans="1:4" x14ac:dyDescent="0.25">
      <c r="A27" s="13" t="s">
        <v>888</v>
      </c>
      <c r="B27" s="14" t="s">
        <v>869</v>
      </c>
      <c r="C27" s="7">
        <f>33600*D27</f>
        <v>35280</v>
      </c>
      <c r="D27">
        <v>1.05</v>
      </c>
    </row>
    <row r="28" spans="1:4" x14ac:dyDescent="0.25">
      <c r="A28" s="13" t="s">
        <v>889</v>
      </c>
      <c r="B28" s="14" t="s">
        <v>869</v>
      </c>
      <c r="C28" s="7">
        <f>25200*D28</f>
        <v>26460</v>
      </c>
      <c r="D28">
        <v>1.05</v>
      </c>
    </row>
    <row r="29" spans="1:4" x14ac:dyDescent="0.25">
      <c r="A29" s="4" t="s">
        <v>870</v>
      </c>
      <c r="B29" s="14" t="s">
        <v>869</v>
      </c>
      <c r="C29" s="7">
        <f>155250*D29</f>
        <v>163012.5</v>
      </c>
      <c r="D29">
        <v>1.05</v>
      </c>
    </row>
    <row r="30" spans="1:4" x14ac:dyDescent="0.25">
      <c r="A30" s="13" t="s">
        <v>871</v>
      </c>
      <c r="B30" s="14" t="s">
        <v>869</v>
      </c>
      <c r="C30" s="7">
        <f>136620*D30</f>
        <v>143451</v>
      </c>
      <c r="D30">
        <v>1.05</v>
      </c>
    </row>
    <row r="31" spans="1:4" x14ac:dyDescent="0.25">
      <c r="A31" s="13" t="s">
        <v>872</v>
      </c>
      <c r="B31" s="14" t="s">
        <v>869</v>
      </c>
      <c r="C31" s="7">
        <f>147488*D31</f>
        <v>154862.39999999999</v>
      </c>
      <c r="D31">
        <v>1.05</v>
      </c>
    </row>
    <row r="32" spans="1:4" x14ac:dyDescent="0.25">
      <c r="A32" s="13" t="s">
        <v>873</v>
      </c>
      <c r="B32" s="14" t="s">
        <v>869</v>
      </c>
      <c r="C32" s="7">
        <f>116438*D32</f>
        <v>122259.90000000001</v>
      </c>
      <c r="D32">
        <v>1.05</v>
      </c>
    </row>
    <row r="33" spans="1:4" x14ac:dyDescent="0.25">
      <c r="A33" s="13" t="s">
        <v>874</v>
      </c>
      <c r="B33" s="14" t="s">
        <v>869</v>
      </c>
      <c r="C33" s="7">
        <f>131963*D33</f>
        <v>138561.15</v>
      </c>
      <c r="D33">
        <v>1.05</v>
      </c>
    </row>
    <row r="34" spans="1:4" x14ac:dyDescent="0.25">
      <c r="A34" s="13" t="s">
        <v>875</v>
      </c>
      <c r="B34" s="14" t="s">
        <v>869</v>
      </c>
      <c r="C34" s="7">
        <f>125753*D34</f>
        <v>132040.65</v>
      </c>
      <c r="D34">
        <v>1.05</v>
      </c>
    </row>
    <row r="35" spans="1:4" x14ac:dyDescent="0.25">
      <c r="A35" s="13" t="s">
        <v>876</v>
      </c>
      <c r="B35" s="14" t="s">
        <v>869</v>
      </c>
      <c r="C35" s="16">
        <f>11780*D35</f>
        <v>12369</v>
      </c>
      <c r="D35">
        <v>1.05</v>
      </c>
    </row>
    <row r="36" spans="1:4" x14ac:dyDescent="0.25">
      <c r="A36" s="13" t="s">
        <v>877</v>
      </c>
      <c r="B36" s="14" t="s">
        <v>869</v>
      </c>
      <c r="C36" s="7">
        <f>124200*D36</f>
        <v>130410</v>
      </c>
      <c r="D36">
        <v>1.05</v>
      </c>
    </row>
    <row r="37" spans="1:4" x14ac:dyDescent="0.25">
      <c r="A37" s="13" t="s">
        <v>890</v>
      </c>
      <c r="B37" s="14" t="s">
        <v>12</v>
      </c>
      <c r="C37" s="7">
        <f>2800*D37</f>
        <v>2940</v>
      </c>
      <c r="D37">
        <v>1.05</v>
      </c>
    </row>
    <row r="38" spans="1:4" x14ac:dyDescent="0.25">
      <c r="A38" s="13" t="s">
        <v>891</v>
      </c>
      <c r="B38" s="14" t="s">
        <v>12</v>
      </c>
      <c r="C38" s="7">
        <f>2800*D38</f>
        <v>2940</v>
      </c>
      <c r="D38">
        <v>1.05</v>
      </c>
    </row>
    <row r="39" spans="1:4" x14ac:dyDescent="0.25">
      <c r="A39" s="13" t="s">
        <v>892</v>
      </c>
      <c r="B39" s="14" t="s">
        <v>869</v>
      </c>
      <c r="C39" s="7">
        <f>38640*D39</f>
        <v>40572</v>
      </c>
      <c r="D39">
        <v>1.05</v>
      </c>
    </row>
    <row r="40" spans="1:4" x14ac:dyDescent="0.25">
      <c r="A40" s="13" t="s">
        <v>893</v>
      </c>
      <c r="B40" s="14" t="s">
        <v>869</v>
      </c>
      <c r="C40" s="7">
        <f>28980*D40</f>
        <v>30429</v>
      </c>
      <c r="D40">
        <v>1.05</v>
      </c>
    </row>
    <row r="41" spans="1:4" x14ac:dyDescent="0.25">
      <c r="A41" s="4" t="s">
        <v>885</v>
      </c>
      <c r="B41" s="14" t="s">
        <v>869</v>
      </c>
      <c r="C41" s="7">
        <f>175500*D41</f>
        <v>184275</v>
      </c>
      <c r="D41">
        <v>1.05</v>
      </c>
    </row>
    <row r="42" spans="1:4" x14ac:dyDescent="0.25">
      <c r="A42" s="13" t="s">
        <v>878</v>
      </c>
      <c r="B42" s="14" t="s">
        <v>869</v>
      </c>
      <c r="C42" s="7">
        <f>154440*D42</f>
        <v>162162</v>
      </c>
      <c r="D42">
        <v>1.05</v>
      </c>
    </row>
    <row r="43" spans="1:4" x14ac:dyDescent="0.25">
      <c r="A43" s="13" t="s">
        <v>879</v>
      </c>
      <c r="B43" s="14" t="s">
        <v>869</v>
      </c>
      <c r="C43" s="7">
        <f>166725*D43</f>
        <v>175061.25</v>
      </c>
      <c r="D43">
        <v>1.05</v>
      </c>
    </row>
    <row r="44" spans="1:4" x14ac:dyDescent="0.25">
      <c r="A44" s="13" t="s">
        <v>880</v>
      </c>
      <c r="B44" s="14" t="s">
        <v>869</v>
      </c>
      <c r="C44" s="7">
        <f>131625*D44</f>
        <v>138206.25</v>
      </c>
      <c r="D44">
        <v>1.05</v>
      </c>
    </row>
    <row r="45" spans="1:4" x14ac:dyDescent="0.25">
      <c r="A45" s="13" t="s">
        <v>881</v>
      </c>
      <c r="B45" s="14" t="s">
        <v>869</v>
      </c>
      <c r="C45" s="7">
        <f>149175*D45</f>
        <v>156633.75</v>
      </c>
      <c r="D45">
        <v>1.05</v>
      </c>
    </row>
    <row r="46" spans="1:4" x14ac:dyDescent="0.25">
      <c r="A46" s="13" t="s">
        <v>882</v>
      </c>
      <c r="B46" s="14" t="s">
        <v>869</v>
      </c>
      <c r="C46" s="7">
        <f>142155*D46</f>
        <v>149262.75</v>
      </c>
      <c r="D46">
        <v>1.05</v>
      </c>
    </row>
    <row r="47" spans="1:4" x14ac:dyDescent="0.25">
      <c r="A47" s="13" t="s">
        <v>883</v>
      </c>
      <c r="B47" s="14" t="s">
        <v>869</v>
      </c>
      <c r="C47" s="7">
        <f>126360*D47</f>
        <v>132678</v>
      </c>
      <c r="D47">
        <v>1.05</v>
      </c>
    </row>
    <row r="48" spans="1:4" x14ac:dyDescent="0.25">
      <c r="A48" s="13" t="s">
        <v>884</v>
      </c>
      <c r="B48" s="14" t="s">
        <v>869</v>
      </c>
      <c r="C48" s="7">
        <f>140400*D48</f>
        <v>147420</v>
      </c>
      <c r="D48">
        <v>1.05</v>
      </c>
    </row>
    <row r="49" spans="1:8" x14ac:dyDescent="0.25">
      <c r="A49" s="13" t="s">
        <v>894</v>
      </c>
      <c r="B49" s="14" t="s">
        <v>12</v>
      </c>
      <c r="C49" s="7">
        <f>2950*D49</f>
        <v>3097.5</v>
      </c>
      <c r="D49">
        <v>1.05</v>
      </c>
    </row>
    <row r="50" spans="1:8" x14ac:dyDescent="0.25">
      <c r="A50" s="13" t="s">
        <v>895</v>
      </c>
      <c r="B50" s="14" t="s">
        <v>12</v>
      </c>
      <c r="C50" s="7">
        <f>2950*D50</f>
        <v>3097.5</v>
      </c>
      <c r="D50">
        <v>1.05</v>
      </c>
    </row>
    <row r="51" spans="1:8" x14ac:dyDescent="0.25">
      <c r="A51" s="13" t="s">
        <v>896</v>
      </c>
      <c r="B51" s="14" t="s">
        <v>869</v>
      </c>
      <c r="C51" s="7">
        <f>43680*D51</f>
        <v>45864</v>
      </c>
      <c r="D51">
        <v>1.05</v>
      </c>
    </row>
    <row r="52" spans="1:8" x14ac:dyDescent="0.25">
      <c r="A52" s="13" t="s">
        <v>897</v>
      </c>
      <c r="B52" s="14" t="s">
        <v>869</v>
      </c>
      <c r="C52" s="7">
        <f>32760*D52</f>
        <v>34398</v>
      </c>
      <c r="D52">
        <v>1.05</v>
      </c>
    </row>
    <row r="53" spans="1:8" x14ac:dyDescent="0.25">
      <c r="A53" s="4" t="s">
        <v>898</v>
      </c>
      <c r="B53" s="14" t="s">
        <v>869</v>
      </c>
      <c r="C53" s="7">
        <f>195750*D53</f>
        <v>205537.5</v>
      </c>
      <c r="D53">
        <v>1.05</v>
      </c>
    </row>
    <row r="54" spans="1:8" x14ac:dyDescent="0.25">
      <c r="A54" s="13" t="s">
        <v>899</v>
      </c>
      <c r="B54" s="14" t="s">
        <v>869</v>
      </c>
      <c r="C54" s="7">
        <f>172260*D54</f>
        <v>180873</v>
      </c>
      <c r="D54">
        <v>1.05</v>
      </c>
    </row>
    <row r="55" spans="1:8" x14ac:dyDescent="0.25">
      <c r="A55" s="13" t="s">
        <v>900</v>
      </c>
      <c r="B55" s="14" t="s">
        <v>869</v>
      </c>
      <c r="C55" s="7">
        <f>185963*D55</f>
        <v>195261.15</v>
      </c>
      <c r="D55">
        <v>1.05</v>
      </c>
    </row>
    <row r="56" spans="1:8" x14ac:dyDescent="0.25">
      <c r="A56" s="13" t="s">
        <v>901</v>
      </c>
      <c r="B56" s="14" t="s">
        <v>869</v>
      </c>
      <c r="C56" s="7">
        <f>146813*D56</f>
        <v>154153.65</v>
      </c>
      <c r="D56">
        <v>1.05</v>
      </c>
    </row>
    <row r="57" spans="1:8" x14ac:dyDescent="0.25">
      <c r="A57" s="13" t="s">
        <v>902</v>
      </c>
      <c r="B57" s="14" t="s">
        <v>869</v>
      </c>
      <c r="C57" s="7">
        <f>166388*D57</f>
        <v>174707.4</v>
      </c>
      <c r="D57">
        <v>1.05</v>
      </c>
    </row>
    <row r="58" spans="1:8" x14ac:dyDescent="0.25">
      <c r="A58" s="13" t="s">
        <v>903</v>
      </c>
      <c r="B58" s="14" t="s">
        <v>869</v>
      </c>
      <c r="C58" s="7">
        <f>158558*D58</f>
        <v>166485.9</v>
      </c>
      <c r="D58">
        <v>1.05</v>
      </c>
    </row>
    <row r="59" spans="1:8" ht="16.5" customHeight="1" x14ac:dyDescent="0.25">
      <c r="A59" s="13" t="s">
        <v>904</v>
      </c>
      <c r="B59" s="14" t="s">
        <v>869</v>
      </c>
      <c r="C59" s="7">
        <f>140940*D59</f>
        <v>147987</v>
      </c>
      <c r="D59">
        <v>1.05</v>
      </c>
    </row>
    <row r="60" spans="1:8" ht="16.5" customHeight="1" x14ac:dyDescent="0.25">
      <c r="A60" s="13" t="s">
        <v>905</v>
      </c>
      <c r="B60" s="14" t="s">
        <v>869</v>
      </c>
      <c r="C60" s="7">
        <f>156600*D60</f>
        <v>164430</v>
      </c>
      <c r="D60">
        <v>1.05</v>
      </c>
    </row>
    <row r="61" spans="1:8" x14ac:dyDescent="0.25">
      <c r="A61" s="13" t="s">
        <v>906</v>
      </c>
      <c r="B61" s="14" t="s">
        <v>12</v>
      </c>
      <c r="C61" s="49">
        <f>3100*D61</f>
        <v>3255</v>
      </c>
      <c r="D61">
        <v>1.05</v>
      </c>
    </row>
    <row r="62" spans="1:8" x14ac:dyDescent="0.25">
      <c r="A62" s="13" t="s">
        <v>907</v>
      </c>
      <c r="B62" s="14" t="s">
        <v>12</v>
      </c>
      <c r="C62" s="49">
        <f>3100*D62</f>
        <v>3255</v>
      </c>
      <c r="D62">
        <v>1.05</v>
      </c>
    </row>
    <row r="63" spans="1:8" ht="16.5" customHeight="1" x14ac:dyDescent="0.25">
      <c r="A63" s="13" t="s">
        <v>908</v>
      </c>
      <c r="B63" s="14" t="s">
        <v>869</v>
      </c>
      <c r="C63" s="7">
        <f>48720*D63</f>
        <v>51156</v>
      </c>
      <c r="D63">
        <v>1.05</v>
      </c>
    </row>
    <row r="64" spans="1:8" x14ac:dyDescent="0.25">
      <c r="A64" s="13" t="s">
        <v>909</v>
      </c>
      <c r="B64" s="14" t="s">
        <v>869</v>
      </c>
      <c r="C64" s="7">
        <f>36540*D64</f>
        <v>38367</v>
      </c>
      <c r="D64">
        <v>1.05</v>
      </c>
      <c r="H64" t="s">
        <v>49</v>
      </c>
    </row>
    <row r="65" spans="1:8" x14ac:dyDescent="0.25">
      <c r="A65" s="4" t="s">
        <v>910</v>
      </c>
      <c r="B65" s="14" t="s">
        <v>869</v>
      </c>
      <c r="C65" s="7">
        <f>202500*D65</f>
        <v>212625</v>
      </c>
      <c r="D65">
        <v>1.05</v>
      </c>
    </row>
    <row r="66" spans="1:8" x14ac:dyDescent="0.25">
      <c r="A66" s="13" t="s">
        <v>911</v>
      </c>
      <c r="B66" s="14" t="s">
        <v>869</v>
      </c>
      <c r="C66" s="7">
        <f>178200*D66</f>
        <v>187110</v>
      </c>
      <c r="D66">
        <v>1.05</v>
      </c>
    </row>
    <row r="67" spans="1:8" x14ac:dyDescent="0.25">
      <c r="A67" s="13" t="s">
        <v>912</v>
      </c>
      <c r="B67" s="14" t="s">
        <v>869</v>
      </c>
      <c r="C67" s="7">
        <f>192375*D67</f>
        <v>201993.75</v>
      </c>
      <c r="D67">
        <v>1.05</v>
      </c>
    </row>
    <row r="68" spans="1:8" x14ac:dyDescent="0.25">
      <c r="A68" s="13" t="s">
        <v>913</v>
      </c>
      <c r="B68" s="14" t="s">
        <v>869</v>
      </c>
      <c r="C68" s="7">
        <f>151875*D68</f>
        <v>159468.75</v>
      </c>
      <c r="D68">
        <v>1.05</v>
      </c>
    </row>
    <row r="69" spans="1:8" x14ac:dyDescent="0.25">
      <c r="A69" s="13" t="s">
        <v>914</v>
      </c>
      <c r="B69" s="14" t="s">
        <v>869</v>
      </c>
      <c r="C69" s="7">
        <f>172125*D69</f>
        <v>180731.25</v>
      </c>
      <c r="D69">
        <v>1.05</v>
      </c>
    </row>
    <row r="70" spans="1:8" x14ac:dyDescent="0.25">
      <c r="A70" s="13" t="s">
        <v>915</v>
      </c>
      <c r="B70" s="14" t="s">
        <v>869</v>
      </c>
      <c r="C70" s="7">
        <f>164025*D70</f>
        <v>172226.25</v>
      </c>
      <c r="D70">
        <v>1.05</v>
      </c>
    </row>
    <row r="71" spans="1:8" ht="16.5" customHeight="1" x14ac:dyDescent="0.25">
      <c r="A71" s="13" t="s">
        <v>916</v>
      </c>
      <c r="B71" s="14" t="s">
        <v>869</v>
      </c>
      <c r="C71" s="7">
        <f>145800*D71</f>
        <v>153090</v>
      </c>
      <c r="D71">
        <v>1.05</v>
      </c>
    </row>
    <row r="72" spans="1:8" ht="16.5" customHeight="1" x14ac:dyDescent="0.25">
      <c r="A72" s="13" t="s">
        <v>917</v>
      </c>
      <c r="B72" s="14" t="s">
        <v>869</v>
      </c>
      <c r="C72" s="7">
        <f>162000*D72</f>
        <v>170100</v>
      </c>
      <c r="D72">
        <v>1.05</v>
      </c>
    </row>
    <row r="73" spans="1:8" x14ac:dyDescent="0.25">
      <c r="A73" s="13" t="s">
        <v>920</v>
      </c>
      <c r="B73" s="14" t="s">
        <v>12</v>
      </c>
      <c r="C73" s="49">
        <f>3250*D73</f>
        <v>3412.5</v>
      </c>
      <c r="D73">
        <v>1.05</v>
      </c>
    </row>
    <row r="74" spans="1:8" x14ac:dyDescent="0.25">
      <c r="A74" s="13" t="s">
        <v>907</v>
      </c>
      <c r="B74" s="14" t="s">
        <v>12</v>
      </c>
      <c r="C74" s="49">
        <f>3100*D74</f>
        <v>3255</v>
      </c>
      <c r="D74">
        <v>1.05</v>
      </c>
    </row>
    <row r="75" spans="1:8" ht="16.5" customHeight="1" x14ac:dyDescent="0.25">
      <c r="A75" s="13" t="s">
        <v>918</v>
      </c>
      <c r="B75" s="14" t="s">
        <v>869</v>
      </c>
      <c r="C75" s="7">
        <f>50400*D75</f>
        <v>52920</v>
      </c>
      <c r="D75">
        <v>1.05</v>
      </c>
    </row>
    <row r="76" spans="1:8" x14ac:dyDescent="0.25">
      <c r="A76" s="13" t="s">
        <v>919</v>
      </c>
      <c r="B76" s="14" t="s">
        <v>869</v>
      </c>
      <c r="C76" s="7">
        <f>37800*D76</f>
        <v>39690</v>
      </c>
      <c r="D76">
        <v>1.05</v>
      </c>
      <c r="H76" t="s">
        <v>49</v>
      </c>
    </row>
    <row r="77" spans="1:8" x14ac:dyDescent="0.25">
      <c r="A77" s="4" t="s">
        <v>921</v>
      </c>
      <c r="B77" s="14" t="s">
        <v>869</v>
      </c>
      <c r="C77" s="7"/>
      <c r="D77">
        <v>1.05</v>
      </c>
    </row>
    <row r="78" spans="1:8" x14ac:dyDescent="0.25">
      <c r="A78" s="13" t="s">
        <v>922</v>
      </c>
      <c r="B78" s="14" t="s">
        <v>869</v>
      </c>
      <c r="C78" s="7"/>
      <c r="D78">
        <v>1.05</v>
      </c>
    </row>
    <row r="79" spans="1:8" x14ac:dyDescent="0.25">
      <c r="A79" s="13" t="s">
        <v>923</v>
      </c>
      <c r="B79" s="14" t="s">
        <v>869</v>
      </c>
      <c r="C79" s="7"/>
      <c r="D79">
        <v>1.05</v>
      </c>
    </row>
    <row r="80" spans="1:8" x14ac:dyDescent="0.25">
      <c r="A80" s="13" t="s">
        <v>924</v>
      </c>
      <c r="B80" s="14" t="s">
        <v>869</v>
      </c>
      <c r="C80" s="7"/>
      <c r="D80">
        <v>1.05</v>
      </c>
    </row>
    <row r="81" spans="1:8" x14ac:dyDescent="0.25">
      <c r="A81" s="13" t="s">
        <v>925</v>
      </c>
      <c r="B81" s="14" t="s">
        <v>869</v>
      </c>
      <c r="C81" s="7"/>
      <c r="D81">
        <v>1.05</v>
      </c>
    </row>
    <row r="82" spans="1:8" x14ac:dyDescent="0.25">
      <c r="A82" s="13" t="s">
        <v>926</v>
      </c>
      <c r="B82" s="14" t="s">
        <v>869</v>
      </c>
      <c r="C82" s="7"/>
      <c r="D82">
        <v>1.05</v>
      </c>
    </row>
    <row r="83" spans="1:8" ht="16.5" customHeight="1" x14ac:dyDescent="0.25">
      <c r="A83" s="13" t="s">
        <v>927</v>
      </c>
      <c r="B83" s="14" t="s">
        <v>869</v>
      </c>
      <c r="C83" s="7"/>
      <c r="D83">
        <v>1.05</v>
      </c>
    </row>
    <row r="84" spans="1:8" ht="16.5" customHeight="1" x14ac:dyDescent="0.25">
      <c r="A84" s="13" t="s">
        <v>928</v>
      </c>
      <c r="B84" s="14" t="s">
        <v>869</v>
      </c>
      <c r="C84" s="7"/>
      <c r="D84">
        <v>1.05</v>
      </c>
    </row>
    <row r="85" spans="1:8" x14ac:dyDescent="0.25">
      <c r="A85" s="13" t="s">
        <v>894</v>
      </c>
      <c r="B85" s="14" t="s">
        <v>12</v>
      </c>
      <c r="C85" s="49"/>
      <c r="D85">
        <v>1.05</v>
      </c>
    </row>
    <row r="86" spans="1:8" x14ac:dyDescent="0.25">
      <c r="A86" s="13" t="s">
        <v>895</v>
      </c>
      <c r="B86" s="14" t="s">
        <v>12</v>
      </c>
      <c r="C86" s="49"/>
      <c r="D86">
        <v>1.05</v>
      </c>
    </row>
    <row r="87" spans="1:8" ht="16.5" customHeight="1" x14ac:dyDescent="0.25">
      <c r="A87" s="13" t="s">
        <v>918</v>
      </c>
      <c r="B87" s="14" t="s">
        <v>869</v>
      </c>
      <c r="C87" s="7"/>
      <c r="D87">
        <v>1.05</v>
      </c>
    </row>
    <row r="88" spans="1:8" x14ac:dyDescent="0.25">
      <c r="A88" s="13" t="s">
        <v>919</v>
      </c>
      <c r="B88" s="14" t="s">
        <v>869</v>
      </c>
      <c r="C88" s="7"/>
      <c r="D88">
        <v>1.05</v>
      </c>
      <c r="H88" t="s">
        <v>49</v>
      </c>
    </row>
    <row r="89" spans="1:8" x14ac:dyDescent="0.25">
      <c r="A89" s="4"/>
      <c r="B89" s="9"/>
      <c r="C89" s="7"/>
      <c r="D89">
        <v>1.05</v>
      </c>
    </row>
    <row r="90" spans="1:8" x14ac:dyDescent="0.25">
      <c r="A90" s="4"/>
      <c r="B90" s="9"/>
      <c r="C90" s="7"/>
      <c r="D90">
        <v>1.05</v>
      </c>
    </row>
    <row r="91" spans="1:8" x14ac:dyDescent="0.25">
      <c r="A91" s="4"/>
      <c r="B91" s="9"/>
      <c r="C91" s="7"/>
      <c r="D91">
        <v>1.05</v>
      </c>
    </row>
    <row r="92" spans="1:8" x14ac:dyDescent="0.25">
      <c r="A92" s="4"/>
      <c r="B92" s="9"/>
      <c r="C92" s="7"/>
      <c r="D92">
        <v>1.05</v>
      </c>
    </row>
    <row r="93" spans="1:8" x14ac:dyDescent="0.25">
      <c r="A93" s="4"/>
      <c r="B93" s="9"/>
      <c r="C93" s="7"/>
      <c r="D93">
        <v>1.05</v>
      </c>
    </row>
    <row r="94" spans="1:8" ht="15.75" x14ac:dyDescent="0.25">
      <c r="A94" s="20"/>
      <c r="B94" s="21"/>
      <c r="C94" s="7"/>
      <c r="D94">
        <v>1.05</v>
      </c>
    </row>
    <row r="95" spans="1:8" ht="15.75" x14ac:dyDescent="0.25">
      <c r="A95" s="20"/>
      <c r="B95" s="21"/>
      <c r="C95" s="7"/>
      <c r="D95">
        <v>1.05</v>
      </c>
    </row>
    <row r="96" spans="1:8" ht="15.75" x14ac:dyDescent="0.25">
      <c r="A96" s="20"/>
      <c r="B96" s="21"/>
      <c r="C96" s="7"/>
      <c r="D96">
        <v>1.05</v>
      </c>
    </row>
    <row r="97" spans="1:4" ht="15.75" x14ac:dyDescent="0.25">
      <c r="A97" s="20"/>
      <c r="B97" s="21"/>
      <c r="C97" s="7"/>
      <c r="D97">
        <v>1.05</v>
      </c>
    </row>
    <row r="98" spans="1:4" ht="15.75" x14ac:dyDescent="0.25">
      <c r="A98" s="20"/>
      <c r="B98" s="21"/>
      <c r="C98" s="7"/>
      <c r="D98">
        <v>1.05</v>
      </c>
    </row>
    <row r="99" spans="1:4" ht="15.75" x14ac:dyDescent="0.25">
      <c r="A99" s="20"/>
      <c r="B99" s="21"/>
      <c r="C99" s="7"/>
      <c r="D99">
        <v>1.05</v>
      </c>
    </row>
    <row r="100" spans="1:4" ht="15.75" x14ac:dyDescent="0.25">
      <c r="A100" s="22"/>
      <c r="B100" s="21"/>
      <c r="C100" s="7"/>
      <c r="D100">
        <v>1.05</v>
      </c>
    </row>
    <row r="101" spans="1:4" x14ac:dyDescent="0.25">
      <c r="A101" s="4"/>
      <c r="B101" s="9"/>
      <c r="C101" s="7"/>
      <c r="D101">
        <v>1.05</v>
      </c>
    </row>
    <row r="102" spans="1:4" x14ac:dyDescent="0.25">
      <c r="A102" s="4"/>
      <c r="B102" s="9"/>
      <c r="C102" s="7"/>
      <c r="D102">
        <v>1.05</v>
      </c>
    </row>
    <row r="103" spans="1:4" x14ac:dyDescent="0.25">
      <c r="A103" s="4"/>
      <c r="B103" s="9"/>
      <c r="C103" s="7"/>
      <c r="D103">
        <v>1.05</v>
      </c>
    </row>
    <row r="104" spans="1:4" x14ac:dyDescent="0.25">
      <c r="A104" s="4"/>
      <c r="B104" s="9"/>
      <c r="C104" s="7"/>
      <c r="D104">
        <v>1.05</v>
      </c>
    </row>
    <row r="105" spans="1:4" x14ac:dyDescent="0.25">
      <c r="A105" s="4"/>
      <c r="B105" s="9"/>
      <c r="C105" s="7"/>
      <c r="D105">
        <v>1.05</v>
      </c>
    </row>
    <row r="106" spans="1:4" x14ac:dyDescent="0.25">
      <c r="A106" s="4"/>
      <c r="B106" s="9"/>
      <c r="C106" s="7"/>
      <c r="D106">
        <v>1.05</v>
      </c>
    </row>
    <row r="107" spans="1:4" ht="15.75" x14ac:dyDescent="0.25">
      <c r="A107" s="20"/>
      <c r="B107" s="21"/>
      <c r="C107" s="7"/>
      <c r="D107">
        <v>1.05</v>
      </c>
    </row>
    <row r="108" spans="1:4" ht="15.75" x14ac:dyDescent="0.25">
      <c r="A108" s="20"/>
      <c r="B108" s="21"/>
      <c r="C108" s="7"/>
      <c r="D108">
        <v>1.05</v>
      </c>
    </row>
    <row r="109" spans="1:4" ht="15.75" x14ac:dyDescent="0.25">
      <c r="A109" s="20"/>
      <c r="B109" s="21"/>
      <c r="C109" s="7"/>
      <c r="D109">
        <v>1.05</v>
      </c>
    </row>
    <row r="110" spans="1:4" ht="15.75" x14ac:dyDescent="0.25">
      <c r="A110" s="20"/>
      <c r="B110" s="21"/>
      <c r="C110" s="7"/>
      <c r="D110">
        <v>1.05</v>
      </c>
    </row>
    <row r="111" spans="1:4" ht="15.75" x14ac:dyDescent="0.25">
      <c r="A111" s="20"/>
      <c r="B111" s="21"/>
      <c r="C111" s="7"/>
      <c r="D111">
        <v>1.05</v>
      </c>
    </row>
    <row r="112" spans="1:4" ht="15.75" x14ac:dyDescent="0.25">
      <c r="A112" s="20"/>
      <c r="B112" s="21"/>
      <c r="C112" s="7"/>
      <c r="D112">
        <v>1.05</v>
      </c>
    </row>
    <row r="113" spans="1:4" ht="15.75" x14ac:dyDescent="0.25">
      <c r="A113" s="22"/>
      <c r="B113" s="21"/>
      <c r="C113" s="7"/>
      <c r="D113">
        <v>1.05</v>
      </c>
    </row>
    <row r="114" spans="1:4" ht="15.75" x14ac:dyDescent="0.25">
      <c r="A114" s="22"/>
      <c r="B114" s="21"/>
      <c r="C114" s="7"/>
      <c r="D114">
        <v>1.05</v>
      </c>
    </row>
    <row r="115" spans="1:4" x14ac:dyDescent="0.25">
      <c r="B115"/>
    </row>
    <row r="116" spans="1:4" x14ac:dyDescent="0.25">
      <c r="B116"/>
    </row>
    <row r="117" spans="1:4" x14ac:dyDescent="0.25">
      <c r="B117"/>
    </row>
    <row r="118" spans="1:4" x14ac:dyDescent="0.25">
      <c r="B118"/>
    </row>
    <row r="119" spans="1:4" x14ac:dyDescent="0.25">
      <c r="B119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A4" sqref="A4:XFD4"/>
    </sheetView>
  </sheetViews>
  <sheetFormatPr defaultRowHeight="15" x14ac:dyDescent="0.25"/>
  <cols>
    <col min="1" max="1" width="60.28515625" customWidth="1"/>
    <col min="2" max="2" width="15" style="2" customWidth="1"/>
    <col min="3" max="3" width="15" customWidth="1"/>
  </cols>
  <sheetData>
    <row r="1" spans="1:3" x14ac:dyDescent="0.25">
      <c r="A1" s="4"/>
      <c r="B1" s="9"/>
      <c r="C1" s="7">
        <v>0</v>
      </c>
    </row>
    <row r="2" spans="1:3" x14ac:dyDescent="0.25">
      <c r="A2" s="4" t="s">
        <v>938</v>
      </c>
      <c r="B2" s="9" t="s">
        <v>12</v>
      </c>
      <c r="C2" s="7">
        <v>180</v>
      </c>
    </row>
    <row r="3" spans="1:3" x14ac:dyDescent="0.25">
      <c r="A3" s="4" t="s">
        <v>935</v>
      </c>
      <c r="B3" s="9" t="s">
        <v>12</v>
      </c>
      <c r="C3" s="7">
        <v>250</v>
      </c>
    </row>
    <row r="4" spans="1:3" x14ac:dyDescent="0.25">
      <c r="A4" s="4" t="s">
        <v>80</v>
      </c>
      <c r="B4" s="9" t="s">
        <v>11</v>
      </c>
      <c r="C4" s="7">
        <v>7000</v>
      </c>
    </row>
    <row r="5" spans="1:3" x14ac:dyDescent="0.25">
      <c r="A5" s="4" t="s">
        <v>937</v>
      </c>
      <c r="B5" s="14" t="s">
        <v>185</v>
      </c>
      <c r="C5" s="16">
        <v>120</v>
      </c>
    </row>
    <row r="6" spans="1:3" x14ac:dyDescent="0.25">
      <c r="A6" s="4" t="s">
        <v>932</v>
      </c>
      <c r="B6" s="9" t="s">
        <v>939</v>
      </c>
      <c r="C6" s="7">
        <v>2000</v>
      </c>
    </row>
    <row r="7" spans="1:3" x14ac:dyDescent="0.25">
      <c r="A7" s="4" t="s">
        <v>940</v>
      </c>
      <c r="B7" s="9" t="s">
        <v>12</v>
      </c>
      <c r="C7" s="7">
        <v>1300</v>
      </c>
    </row>
    <row r="8" spans="1:3" x14ac:dyDescent="0.25">
      <c r="A8" s="4" t="s">
        <v>941</v>
      </c>
      <c r="B8" s="9" t="s">
        <v>12</v>
      </c>
      <c r="C8" s="7">
        <v>1500</v>
      </c>
    </row>
    <row r="9" spans="1:3" x14ac:dyDescent="0.25">
      <c r="A9" s="4" t="s">
        <v>968</v>
      </c>
      <c r="B9" s="9" t="s">
        <v>12</v>
      </c>
      <c r="C9" s="7">
        <v>1850</v>
      </c>
    </row>
    <row r="10" spans="1:3" x14ac:dyDescent="0.25">
      <c r="A10" s="4" t="s">
        <v>942</v>
      </c>
      <c r="B10" s="9" t="s">
        <v>12</v>
      </c>
      <c r="C10" s="7">
        <v>1100</v>
      </c>
    </row>
    <row r="11" spans="1:3" x14ac:dyDescent="0.25">
      <c r="A11" s="4" t="s">
        <v>30</v>
      </c>
      <c r="B11" s="9" t="s">
        <v>13</v>
      </c>
      <c r="C11" s="7">
        <v>190</v>
      </c>
    </row>
    <row r="12" spans="1:3" x14ac:dyDescent="0.25">
      <c r="A12" s="4" t="s">
        <v>79</v>
      </c>
      <c r="B12" s="9" t="s">
        <v>11</v>
      </c>
      <c r="C12" s="7">
        <v>42000</v>
      </c>
    </row>
    <row r="13" spans="1:3" x14ac:dyDescent="0.25">
      <c r="A13" s="4" t="s">
        <v>943</v>
      </c>
      <c r="B13" s="9" t="s">
        <v>12</v>
      </c>
      <c r="C13" s="7">
        <v>322.02999999999997</v>
      </c>
    </row>
    <row r="14" spans="1:3" x14ac:dyDescent="0.25">
      <c r="A14" s="4" t="s">
        <v>934</v>
      </c>
      <c r="B14" s="9" t="s">
        <v>12</v>
      </c>
      <c r="C14" s="7">
        <v>370</v>
      </c>
    </row>
    <row r="15" spans="1:3" x14ac:dyDescent="0.25">
      <c r="A15" s="4" t="s">
        <v>947</v>
      </c>
      <c r="B15" s="9" t="s">
        <v>12</v>
      </c>
      <c r="C15" s="7">
        <v>322.02999999999997</v>
      </c>
    </row>
    <row r="16" spans="1:3" x14ac:dyDescent="0.25">
      <c r="A16" s="4" t="s">
        <v>944</v>
      </c>
      <c r="B16" s="9" t="s">
        <v>12</v>
      </c>
      <c r="C16" s="7">
        <v>69</v>
      </c>
    </row>
    <row r="17" spans="1:3" x14ac:dyDescent="0.25">
      <c r="A17" s="4" t="s">
        <v>945</v>
      </c>
      <c r="B17" s="9" t="s">
        <v>12</v>
      </c>
      <c r="C17" s="7">
        <v>31.36</v>
      </c>
    </row>
    <row r="18" spans="1:3" x14ac:dyDescent="0.25">
      <c r="A18" s="4" t="s">
        <v>946</v>
      </c>
      <c r="B18" s="9" t="s">
        <v>12</v>
      </c>
      <c r="C18" s="7">
        <v>110.17</v>
      </c>
    </row>
    <row r="19" spans="1:3" x14ac:dyDescent="0.25">
      <c r="A19" s="4" t="s">
        <v>948</v>
      </c>
      <c r="B19" s="9" t="s">
        <v>10</v>
      </c>
      <c r="C19" s="7">
        <v>4406.78</v>
      </c>
    </row>
    <row r="20" spans="1:3" x14ac:dyDescent="0.25">
      <c r="A20" s="4" t="s">
        <v>949</v>
      </c>
      <c r="B20" s="9" t="s">
        <v>10</v>
      </c>
      <c r="C20" s="7">
        <v>3474.58</v>
      </c>
    </row>
    <row r="21" spans="1:3" x14ac:dyDescent="0.25">
      <c r="A21" s="4" t="s">
        <v>950</v>
      </c>
      <c r="B21" s="9" t="s">
        <v>10</v>
      </c>
      <c r="C21" s="7">
        <v>4406.78</v>
      </c>
    </row>
    <row r="22" spans="1:3" x14ac:dyDescent="0.25">
      <c r="A22" s="4" t="s">
        <v>233</v>
      </c>
      <c r="B22" s="9" t="s">
        <v>234</v>
      </c>
      <c r="C22" s="7">
        <v>212.71</v>
      </c>
    </row>
    <row r="23" spans="1:3" x14ac:dyDescent="0.25">
      <c r="A23" s="4" t="s">
        <v>951</v>
      </c>
      <c r="B23" s="9" t="s">
        <v>234</v>
      </c>
      <c r="C23" s="7">
        <v>212.71</v>
      </c>
    </row>
    <row r="24" spans="1:3" x14ac:dyDescent="0.25">
      <c r="A24" s="4" t="s">
        <v>952</v>
      </c>
      <c r="B24" s="9" t="s">
        <v>234</v>
      </c>
      <c r="C24" s="7">
        <v>212.71</v>
      </c>
    </row>
    <row r="25" spans="1:3" x14ac:dyDescent="0.25">
      <c r="A25" s="64" t="s">
        <v>235</v>
      </c>
      <c r="B25" s="9" t="s">
        <v>11</v>
      </c>
      <c r="C25" s="7">
        <v>24576.27</v>
      </c>
    </row>
    <row r="26" spans="1:3" x14ac:dyDescent="0.25">
      <c r="A26" s="4" t="s">
        <v>936</v>
      </c>
      <c r="B26" s="9" t="s">
        <v>185</v>
      </c>
      <c r="C26" s="7">
        <v>210</v>
      </c>
    </row>
    <row r="27" spans="1:3" x14ac:dyDescent="0.25">
      <c r="A27" s="4" t="s">
        <v>953</v>
      </c>
      <c r="B27" s="9" t="s">
        <v>10</v>
      </c>
      <c r="C27" s="7">
        <v>6500</v>
      </c>
    </row>
    <row r="28" spans="1:3" x14ac:dyDescent="0.25">
      <c r="A28" s="4"/>
      <c r="B28" s="9"/>
      <c r="C28" s="7"/>
    </row>
    <row r="29" spans="1:3" x14ac:dyDescent="0.25">
      <c r="A29" s="4"/>
      <c r="B29" s="9"/>
      <c r="C29" s="7"/>
    </row>
    <row r="30" spans="1:3" x14ac:dyDescent="0.25">
      <c r="A30" s="4"/>
      <c r="B30" s="9"/>
      <c r="C30" s="7"/>
    </row>
    <row r="31" spans="1:3" x14ac:dyDescent="0.25">
      <c r="A31" s="4"/>
      <c r="B31" s="9"/>
      <c r="C31" s="7"/>
    </row>
    <row r="32" spans="1:3" x14ac:dyDescent="0.25">
      <c r="A32" s="4"/>
      <c r="B32" s="9"/>
      <c r="C32" s="7"/>
    </row>
    <row r="33" spans="1:8" x14ac:dyDescent="0.25">
      <c r="A33" s="4"/>
      <c r="B33" s="9"/>
      <c r="C33" s="7"/>
    </row>
    <row r="34" spans="1:8" x14ac:dyDescent="0.25">
      <c r="A34" s="4"/>
      <c r="B34" s="9"/>
      <c r="C34" s="7"/>
    </row>
    <row r="35" spans="1:8" x14ac:dyDescent="0.25">
      <c r="A35" s="4"/>
      <c r="B35" s="9"/>
      <c r="C35" s="7"/>
    </row>
    <row r="36" spans="1:8" x14ac:dyDescent="0.25">
      <c r="A36" s="4"/>
      <c r="B36" s="9"/>
      <c r="C36" s="7"/>
    </row>
    <row r="37" spans="1:8" ht="16.5" customHeight="1" x14ac:dyDescent="0.25">
      <c r="A37" s="4"/>
      <c r="B37" s="9"/>
      <c r="C37" s="7"/>
    </row>
    <row r="38" spans="1:8" ht="16.5" customHeight="1" x14ac:dyDescent="0.25">
      <c r="A38" s="4"/>
      <c r="B38" s="9"/>
      <c r="C38" s="7"/>
    </row>
    <row r="39" spans="1:8" x14ac:dyDescent="0.25">
      <c r="A39" s="47"/>
      <c r="B39" s="48"/>
      <c r="C39" s="49"/>
    </row>
    <row r="40" spans="1:8" x14ac:dyDescent="0.25">
      <c r="A40" s="47"/>
      <c r="B40" s="48"/>
      <c r="C40" s="49"/>
    </row>
    <row r="41" spans="1:8" ht="29.25" customHeight="1" x14ac:dyDescent="0.25">
      <c r="A41" s="4"/>
      <c r="B41" s="9"/>
      <c r="C41" s="7"/>
    </row>
    <row r="42" spans="1:8" x14ac:dyDescent="0.25">
      <c r="A42" s="4"/>
      <c r="B42" s="9"/>
      <c r="C42" s="7"/>
      <c r="H42" t="s">
        <v>49</v>
      </c>
    </row>
    <row r="43" spans="1:8" x14ac:dyDescent="0.25">
      <c r="A43" s="4"/>
      <c r="B43" s="9"/>
      <c r="C43" s="7"/>
    </row>
    <row r="44" spans="1:8" x14ac:dyDescent="0.25">
      <c r="A44" s="4"/>
      <c r="B44" s="9"/>
      <c r="C44" s="7"/>
    </row>
    <row r="45" spans="1:8" x14ac:dyDescent="0.25">
      <c r="A45" s="4"/>
      <c r="B45" s="9"/>
      <c r="C45" s="7"/>
    </row>
    <row r="46" spans="1:8" x14ac:dyDescent="0.25">
      <c r="A46" s="4"/>
      <c r="B46" s="9"/>
      <c r="C46" s="7"/>
    </row>
    <row r="47" spans="1:8" x14ac:dyDescent="0.25">
      <c r="A47" s="4"/>
      <c r="B47" s="9"/>
      <c r="C47" s="7"/>
    </row>
    <row r="48" spans="1:8" x14ac:dyDescent="0.25">
      <c r="A48" s="4"/>
      <c r="B48" s="9"/>
      <c r="C48" s="7"/>
    </row>
    <row r="49" spans="1:3" ht="15.75" x14ac:dyDescent="0.25">
      <c r="A49" s="20"/>
      <c r="B49" s="21"/>
      <c r="C49" s="7"/>
    </row>
    <row r="50" spans="1:3" ht="15.75" x14ac:dyDescent="0.25">
      <c r="A50" s="20"/>
      <c r="B50" s="21"/>
      <c r="C50" s="7"/>
    </row>
    <row r="51" spans="1:3" ht="15.75" x14ac:dyDescent="0.25">
      <c r="A51" s="20"/>
      <c r="B51" s="21"/>
      <c r="C51" s="7"/>
    </row>
    <row r="52" spans="1:3" ht="15.75" x14ac:dyDescent="0.25">
      <c r="A52" s="20"/>
      <c r="B52" s="21"/>
      <c r="C52" s="7"/>
    </row>
    <row r="53" spans="1:3" ht="15.75" x14ac:dyDescent="0.25">
      <c r="A53" s="20"/>
      <c r="B53" s="21"/>
      <c r="C53" s="7"/>
    </row>
    <row r="54" spans="1:3" ht="15.75" x14ac:dyDescent="0.25">
      <c r="A54" s="20"/>
      <c r="B54" s="21"/>
      <c r="C54" s="7"/>
    </row>
    <row r="55" spans="1:3" ht="15.75" x14ac:dyDescent="0.25">
      <c r="A55" s="22"/>
      <c r="B55" s="21"/>
      <c r="C55" s="7"/>
    </row>
    <row r="56" spans="1:3" ht="15.75" x14ac:dyDescent="0.25">
      <c r="A56" s="22"/>
      <c r="B56" s="21"/>
      <c r="C56" s="7"/>
    </row>
    <row r="57" spans="1:3" x14ac:dyDescent="0.25">
      <c r="B57"/>
    </row>
    <row r="58" spans="1:3" x14ac:dyDescent="0.25">
      <c r="B58"/>
    </row>
    <row r="59" spans="1:3" x14ac:dyDescent="0.25">
      <c r="B59"/>
    </row>
    <row r="60" spans="1:3" x14ac:dyDescent="0.25">
      <c r="B60"/>
    </row>
    <row r="61" spans="1:3" x14ac:dyDescent="0.25">
      <c r="B61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C11" sqref="C11"/>
    </sheetView>
  </sheetViews>
  <sheetFormatPr defaultRowHeight="15" x14ac:dyDescent="0.25"/>
  <cols>
    <col min="1" max="1" width="60.28515625" customWidth="1"/>
    <col min="2" max="2" width="15" style="2" customWidth="1"/>
    <col min="3" max="3" width="15" customWidth="1"/>
  </cols>
  <sheetData>
    <row r="1" spans="1:3" x14ac:dyDescent="0.25">
      <c r="A1" s="4" t="s">
        <v>87</v>
      </c>
      <c r="B1" s="9" t="s">
        <v>87</v>
      </c>
      <c r="C1" s="7">
        <v>0</v>
      </c>
    </row>
    <row r="2" spans="1:3" x14ac:dyDescent="0.25">
      <c r="A2" s="4" t="s">
        <v>97</v>
      </c>
      <c r="B2" s="9" t="s">
        <v>14</v>
      </c>
      <c r="C2" s="7">
        <v>13500</v>
      </c>
    </row>
    <row r="3" spans="1:3" x14ac:dyDescent="0.25">
      <c r="A3" s="4" t="s">
        <v>54</v>
      </c>
      <c r="B3" s="9" t="s">
        <v>14</v>
      </c>
      <c r="C3" s="7">
        <v>5000</v>
      </c>
    </row>
    <row r="4" spans="1:3" x14ac:dyDescent="0.25">
      <c r="A4" s="4" t="s">
        <v>32</v>
      </c>
      <c r="B4" s="9" t="s">
        <v>14</v>
      </c>
      <c r="C4" s="7">
        <v>1000</v>
      </c>
    </row>
    <row r="5" spans="1:3" x14ac:dyDescent="0.25">
      <c r="A5" s="4" t="s">
        <v>95</v>
      </c>
      <c r="B5" s="9" t="s">
        <v>14</v>
      </c>
      <c r="C5" s="7">
        <v>17500</v>
      </c>
    </row>
    <row r="6" spans="1:3" x14ac:dyDescent="0.25">
      <c r="A6" s="4" t="s">
        <v>94</v>
      </c>
      <c r="B6" s="9" t="s">
        <v>14</v>
      </c>
      <c r="C6" s="7">
        <v>3800</v>
      </c>
    </row>
    <row r="7" spans="1:3" x14ac:dyDescent="0.25">
      <c r="A7" s="18" t="s">
        <v>93</v>
      </c>
      <c r="B7" s="19" t="s">
        <v>14</v>
      </c>
      <c r="C7" s="16">
        <v>2100</v>
      </c>
    </row>
    <row r="8" spans="1:3" x14ac:dyDescent="0.25">
      <c r="A8" s="4" t="s">
        <v>92</v>
      </c>
      <c r="B8" s="9" t="s">
        <v>14</v>
      </c>
      <c r="C8" s="16">
        <v>17700</v>
      </c>
    </row>
    <row r="9" spans="1:3" x14ac:dyDescent="0.25">
      <c r="A9" s="4" t="s">
        <v>96</v>
      </c>
      <c r="B9" s="9" t="s">
        <v>14</v>
      </c>
      <c r="C9" s="7">
        <v>24600</v>
      </c>
    </row>
    <row r="10" spans="1:3" x14ac:dyDescent="0.25">
      <c r="A10" s="18" t="s">
        <v>970</v>
      </c>
      <c r="B10" s="19" t="s">
        <v>14</v>
      </c>
      <c r="C10" s="16">
        <v>3850</v>
      </c>
    </row>
    <row r="11" spans="1:3" x14ac:dyDescent="0.25">
      <c r="A11" s="13"/>
      <c r="B11" s="14"/>
      <c r="C11" s="16"/>
    </row>
    <row r="12" spans="1:3" x14ac:dyDescent="0.25">
      <c r="A12" s="4"/>
      <c r="B12" s="9"/>
      <c r="C12" s="16"/>
    </row>
    <row r="13" spans="1:3" x14ac:dyDescent="0.25">
      <c r="A13" s="13"/>
      <c r="B13" s="14"/>
      <c r="C13" s="16"/>
    </row>
    <row r="14" spans="1:3" x14ac:dyDescent="0.25">
      <c r="A14" s="4"/>
      <c r="B14" s="9"/>
      <c r="C14" s="7"/>
    </row>
    <row r="15" spans="1:3" x14ac:dyDescent="0.25">
      <c r="A15" s="4"/>
      <c r="B15" s="9"/>
      <c r="C15" s="7"/>
    </row>
    <row r="16" spans="1:3" x14ac:dyDescent="0.25">
      <c r="A16" s="4"/>
      <c r="B16" s="9"/>
      <c r="C16" s="7"/>
    </row>
    <row r="17" spans="1:3" x14ac:dyDescent="0.25">
      <c r="A17" s="4"/>
      <c r="B17" s="9"/>
      <c r="C17" s="7"/>
    </row>
    <row r="18" spans="1:3" x14ac:dyDescent="0.25">
      <c r="A18" s="4"/>
      <c r="B18" s="9"/>
      <c r="C18" s="7"/>
    </row>
    <row r="19" spans="1:3" x14ac:dyDescent="0.25">
      <c r="A19" s="4"/>
      <c r="B19" s="9"/>
      <c r="C19" s="7"/>
    </row>
    <row r="20" spans="1:3" x14ac:dyDescent="0.25">
      <c r="A20" s="4"/>
      <c r="B20" s="9"/>
      <c r="C20" s="7"/>
    </row>
    <row r="21" spans="1:3" x14ac:dyDescent="0.25">
      <c r="A21" s="4"/>
      <c r="B21" s="9"/>
      <c r="C21" s="7"/>
    </row>
    <row r="22" spans="1:3" x14ac:dyDescent="0.25">
      <c r="A22" s="4"/>
      <c r="B22" s="14"/>
      <c r="C22" s="16"/>
    </row>
    <row r="23" spans="1:3" x14ac:dyDescent="0.25">
      <c r="A23" s="4"/>
      <c r="B23" s="9"/>
      <c r="C23" s="7"/>
    </row>
    <row r="24" spans="1:3" x14ac:dyDescent="0.25">
      <c r="A24" s="4"/>
      <c r="B24" s="9"/>
      <c r="C24" s="7"/>
    </row>
    <row r="25" spans="1:3" x14ac:dyDescent="0.25">
      <c r="A25" s="4"/>
      <c r="B25" s="9"/>
      <c r="C25" s="7"/>
    </row>
    <row r="26" spans="1:3" x14ac:dyDescent="0.25">
      <c r="A26" s="4"/>
      <c r="B26" s="9"/>
      <c r="C26" s="7"/>
    </row>
    <row r="27" spans="1:3" x14ac:dyDescent="0.25">
      <c r="A27" s="4"/>
      <c r="B27" s="9"/>
      <c r="C27" s="7"/>
    </row>
    <row r="28" spans="1:3" x14ac:dyDescent="0.25">
      <c r="A28" s="4"/>
      <c r="B28" s="9"/>
      <c r="C28" s="7"/>
    </row>
    <row r="29" spans="1:3" x14ac:dyDescent="0.25">
      <c r="A29" s="4"/>
      <c r="B29" s="9"/>
      <c r="C29" s="7"/>
    </row>
    <row r="30" spans="1:3" x14ac:dyDescent="0.25">
      <c r="A30" s="4"/>
      <c r="B30" s="9"/>
      <c r="C30" s="7"/>
    </row>
    <row r="31" spans="1:3" x14ac:dyDescent="0.25">
      <c r="A31" s="4"/>
      <c r="B31" s="9"/>
      <c r="C31" s="7"/>
    </row>
    <row r="32" spans="1:3" x14ac:dyDescent="0.25">
      <c r="A32" s="4"/>
      <c r="B32" s="9"/>
      <c r="C32" s="7"/>
    </row>
    <row r="33" spans="1:8" x14ac:dyDescent="0.25">
      <c r="A33" s="4"/>
      <c r="B33" s="9"/>
      <c r="C33" s="7"/>
    </row>
    <row r="34" spans="1:8" x14ac:dyDescent="0.25">
      <c r="A34" s="4"/>
      <c r="B34" s="9"/>
      <c r="C34" s="7"/>
    </row>
    <row r="35" spans="1:8" x14ac:dyDescent="0.25">
      <c r="A35" s="4"/>
      <c r="B35" s="9"/>
      <c r="C35" s="7"/>
    </row>
    <row r="36" spans="1:8" x14ac:dyDescent="0.25">
      <c r="A36" s="4"/>
      <c r="B36" s="9"/>
      <c r="C36" s="7"/>
    </row>
    <row r="37" spans="1:8" ht="16.5" customHeight="1" x14ac:dyDescent="0.25">
      <c r="A37" s="4"/>
      <c r="B37" s="9"/>
      <c r="C37" s="7"/>
    </row>
    <row r="38" spans="1:8" ht="16.5" customHeight="1" x14ac:dyDescent="0.25">
      <c r="A38" s="4"/>
      <c r="B38" s="9"/>
      <c r="C38" s="7"/>
    </row>
    <row r="39" spans="1:8" x14ac:dyDescent="0.25">
      <c r="A39" s="47"/>
      <c r="B39" s="48"/>
      <c r="C39" s="49"/>
    </row>
    <row r="40" spans="1:8" x14ac:dyDescent="0.25">
      <c r="A40" s="47"/>
      <c r="B40" s="48"/>
      <c r="C40" s="49"/>
    </row>
    <row r="41" spans="1:8" ht="29.25" customHeight="1" x14ac:dyDescent="0.25">
      <c r="A41" s="4"/>
      <c r="B41" s="9"/>
      <c r="C41" s="7"/>
    </row>
    <row r="42" spans="1:8" x14ac:dyDescent="0.25">
      <c r="A42" s="4"/>
      <c r="B42" s="9"/>
      <c r="C42" s="7"/>
      <c r="H42" t="s">
        <v>49</v>
      </c>
    </row>
    <row r="43" spans="1:8" x14ac:dyDescent="0.25">
      <c r="A43" s="4"/>
      <c r="B43" s="9"/>
      <c r="C43" s="7"/>
    </row>
    <row r="44" spans="1:8" x14ac:dyDescent="0.25">
      <c r="A44" s="4"/>
      <c r="B44" s="9"/>
      <c r="C44" s="7"/>
    </row>
    <row r="45" spans="1:8" x14ac:dyDescent="0.25">
      <c r="A45" s="4"/>
      <c r="B45" s="9"/>
      <c r="C45" s="7"/>
    </row>
    <row r="46" spans="1:8" x14ac:dyDescent="0.25">
      <c r="A46" s="4"/>
      <c r="B46" s="9"/>
      <c r="C46" s="7"/>
    </row>
    <row r="47" spans="1:8" x14ac:dyDescent="0.25">
      <c r="A47" s="4"/>
      <c r="B47" s="9"/>
      <c r="C47" s="7"/>
    </row>
    <row r="48" spans="1:8" x14ac:dyDescent="0.25">
      <c r="A48" s="4"/>
      <c r="B48" s="9"/>
      <c r="C48" s="7"/>
    </row>
    <row r="49" spans="1:3" ht="15.75" x14ac:dyDescent="0.25">
      <c r="A49" s="20"/>
      <c r="B49" s="21"/>
      <c r="C49" s="7"/>
    </row>
    <row r="50" spans="1:3" ht="15.75" x14ac:dyDescent="0.25">
      <c r="A50" s="20"/>
      <c r="B50" s="21"/>
      <c r="C50" s="7"/>
    </row>
    <row r="51" spans="1:3" ht="15.75" x14ac:dyDescent="0.25">
      <c r="A51" s="20"/>
      <c r="B51" s="21"/>
      <c r="C51" s="7"/>
    </row>
    <row r="52" spans="1:3" ht="15.75" x14ac:dyDescent="0.25">
      <c r="A52" s="20"/>
      <c r="B52" s="21"/>
      <c r="C52" s="7"/>
    </row>
    <row r="53" spans="1:3" ht="15.75" x14ac:dyDescent="0.25">
      <c r="A53" s="20"/>
      <c r="B53" s="21"/>
      <c r="C53" s="7"/>
    </row>
    <row r="54" spans="1:3" ht="15.75" x14ac:dyDescent="0.25">
      <c r="A54" s="20"/>
      <c r="B54" s="21"/>
      <c r="C54" s="7"/>
    </row>
    <row r="55" spans="1:3" ht="15.75" x14ac:dyDescent="0.25">
      <c r="A55" s="22"/>
      <c r="B55" s="21"/>
      <c r="C55" s="7"/>
    </row>
    <row r="56" spans="1:3" ht="15.75" x14ac:dyDescent="0.25">
      <c r="A56" s="22"/>
      <c r="B56" s="21"/>
      <c r="C56" s="7"/>
    </row>
    <row r="57" spans="1:3" x14ac:dyDescent="0.25">
      <c r="B57"/>
    </row>
    <row r="58" spans="1:3" x14ac:dyDescent="0.25">
      <c r="B58"/>
    </row>
    <row r="59" spans="1:3" x14ac:dyDescent="0.25">
      <c r="B59"/>
    </row>
    <row r="60" spans="1:3" x14ac:dyDescent="0.25">
      <c r="B60"/>
    </row>
    <row r="61" spans="1:3" x14ac:dyDescent="0.25">
      <c r="B61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A3" sqref="A3"/>
    </sheetView>
  </sheetViews>
  <sheetFormatPr defaultRowHeight="15" x14ac:dyDescent="0.25"/>
  <cols>
    <col min="1" max="1" width="60.28515625" customWidth="1"/>
    <col min="2" max="2" width="15" style="2" customWidth="1"/>
    <col min="3" max="3" width="15" customWidth="1"/>
  </cols>
  <sheetData>
    <row r="1" spans="1:3" x14ac:dyDescent="0.25">
      <c r="A1" s="4" t="s">
        <v>87</v>
      </c>
      <c r="B1" s="9" t="s">
        <v>87</v>
      </c>
      <c r="C1" s="7">
        <v>0</v>
      </c>
    </row>
    <row r="2" spans="1:3" x14ac:dyDescent="0.25">
      <c r="A2" s="4" t="s">
        <v>98</v>
      </c>
      <c r="B2" s="9" t="s">
        <v>12</v>
      </c>
      <c r="C2" s="7">
        <v>4000</v>
      </c>
    </row>
    <row r="3" spans="1:3" x14ac:dyDescent="0.25">
      <c r="A3" s="4" t="s">
        <v>34</v>
      </c>
      <c r="B3" s="9" t="s">
        <v>12</v>
      </c>
      <c r="C3" s="7">
        <v>800</v>
      </c>
    </row>
    <row r="4" spans="1:3" x14ac:dyDescent="0.25">
      <c r="A4" s="4"/>
      <c r="B4" s="9"/>
      <c r="C4" s="7"/>
    </row>
    <row r="5" spans="1:3" x14ac:dyDescent="0.25">
      <c r="A5" s="4"/>
      <c r="B5" s="9"/>
      <c r="C5" s="7"/>
    </row>
    <row r="6" spans="1:3" x14ac:dyDescent="0.25">
      <c r="A6" s="13"/>
      <c r="B6" s="14"/>
      <c r="C6" s="16"/>
    </row>
    <row r="7" spans="1:3" x14ac:dyDescent="0.25">
      <c r="A7" s="18"/>
      <c r="B7" s="19"/>
      <c r="C7" s="16"/>
    </row>
    <row r="8" spans="1:3" x14ac:dyDescent="0.25">
      <c r="A8" s="4"/>
      <c r="B8" s="9"/>
      <c r="C8" s="16"/>
    </row>
    <row r="9" spans="1:3" x14ac:dyDescent="0.25">
      <c r="A9" s="13"/>
      <c r="B9" s="14"/>
      <c r="C9" s="16"/>
    </row>
    <row r="10" spans="1:3" x14ac:dyDescent="0.25">
      <c r="A10" s="4"/>
      <c r="B10" s="9"/>
      <c r="C10" s="7"/>
    </row>
    <row r="11" spans="1:3" x14ac:dyDescent="0.25">
      <c r="A11" s="13"/>
      <c r="B11" s="14"/>
      <c r="C11" s="16"/>
    </row>
    <row r="12" spans="1:3" x14ac:dyDescent="0.25">
      <c r="A12" s="4"/>
      <c r="B12" s="9"/>
      <c r="C12" s="16"/>
    </row>
    <row r="13" spans="1:3" x14ac:dyDescent="0.25">
      <c r="A13" s="13"/>
      <c r="B13" s="14"/>
      <c r="C13" s="16"/>
    </row>
    <row r="14" spans="1:3" x14ac:dyDescent="0.25">
      <c r="A14" s="4"/>
      <c r="B14" s="9"/>
      <c r="C14" s="7"/>
    </row>
    <row r="15" spans="1:3" x14ac:dyDescent="0.25">
      <c r="A15" s="4"/>
      <c r="B15" s="9"/>
      <c r="C15" s="7"/>
    </row>
    <row r="16" spans="1:3" x14ac:dyDescent="0.25">
      <c r="A16" s="4"/>
      <c r="B16" s="9"/>
      <c r="C16" s="7"/>
    </row>
    <row r="17" spans="1:3" x14ac:dyDescent="0.25">
      <c r="A17" s="4"/>
      <c r="B17" s="9"/>
      <c r="C17" s="7"/>
    </row>
    <row r="18" spans="1:3" x14ac:dyDescent="0.25">
      <c r="A18" s="4"/>
      <c r="B18" s="9"/>
      <c r="C18" s="7"/>
    </row>
    <row r="19" spans="1:3" x14ac:dyDescent="0.25">
      <c r="A19" s="4"/>
      <c r="B19" s="9"/>
      <c r="C19" s="7"/>
    </row>
    <row r="20" spans="1:3" x14ac:dyDescent="0.25">
      <c r="A20" s="4"/>
      <c r="B20" s="9"/>
      <c r="C20" s="7"/>
    </row>
    <row r="21" spans="1:3" x14ac:dyDescent="0.25">
      <c r="A21" s="4"/>
      <c r="B21" s="9"/>
      <c r="C21" s="7"/>
    </row>
    <row r="22" spans="1:3" x14ac:dyDescent="0.25">
      <c r="A22" s="4"/>
      <c r="B22" s="14"/>
      <c r="C22" s="16"/>
    </row>
    <row r="23" spans="1:3" x14ac:dyDescent="0.25">
      <c r="A23" s="4"/>
      <c r="B23" s="9"/>
      <c r="C23" s="7"/>
    </row>
    <row r="24" spans="1:3" x14ac:dyDescent="0.25">
      <c r="A24" s="4"/>
      <c r="B24" s="9"/>
      <c r="C24" s="7"/>
    </row>
    <row r="25" spans="1:3" x14ac:dyDescent="0.25">
      <c r="A25" s="4"/>
      <c r="B25" s="9"/>
      <c r="C25" s="7"/>
    </row>
    <row r="26" spans="1:3" x14ac:dyDescent="0.25">
      <c r="A26" s="4"/>
      <c r="B26" s="9"/>
      <c r="C26" s="7"/>
    </row>
    <row r="27" spans="1:3" x14ac:dyDescent="0.25">
      <c r="A27" s="4"/>
      <c r="B27" s="9"/>
      <c r="C27" s="7"/>
    </row>
    <row r="28" spans="1:3" x14ac:dyDescent="0.25">
      <c r="A28" s="4"/>
      <c r="B28" s="9"/>
      <c r="C28" s="7"/>
    </row>
    <row r="29" spans="1:3" x14ac:dyDescent="0.25">
      <c r="A29" s="4"/>
      <c r="B29" s="9"/>
      <c r="C29" s="7"/>
    </row>
    <row r="30" spans="1:3" x14ac:dyDescent="0.25">
      <c r="A30" s="4"/>
      <c r="B30" s="9"/>
      <c r="C30" s="7"/>
    </row>
    <row r="31" spans="1:3" x14ac:dyDescent="0.25">
      <c r="A31" s="4"/>
      <c r="B31" s="9"/>
      <c r="C31" s="7"/>
    </row>
    <row r="32" spans="1:3" x14ac:dyDescent="0.25">
      <c r="A32" s="4"/>
      <c r="B32" s="9"/>
      <c r="C32" s="7"/>
    </row>
    <row r="33" spans="1:8" x14ac:dyDescent="0.25">
      <c r="A33" s="4"/>
      <c r="B33" s="9"/>
      <c r="C33" s="7"/>
    </row>
    <row r="34" spans="1:8" x14ac:dyDescent="0.25">
      <c r="A34" s="4"/>
      <c r="B34" s="9"/>
      <c r="C34" s="7"/>
    </row>
    <row r="35" spans="1:8" x14ac:dyDescent="0.25">
      <c r="A35" s="4"/>
      <c r="B35" s="9"/>
      <c r="C35" s="7"/>
    </row>
    <row r="36" spans="1:8" x14ac:dyDescent="0.25">
      <c r="A36" s="4"/>
      <c r="B36" s="9"/>
      <c r="C36" s="7"/>
    </row>
    <row r="37" spans="1:8" ht="16.5" customHeight="1" x14ac:dyDescent="0.25">
      <c r="A37" s="4"/>
      <c r="B37" s="9"/>
      <c r="C37" s="7"/>
    </row>
    <row r="38" spans="1:8" ht="16.5" customHeight="1" x14ac:dyDescent="0.25">
      <c r="A38" s="4"/>
      <c r="B38" s="9"/>
      <c r="C38" s="7"/>
    </row>
    <row r="39" spans="1:8" x14ac:dyDescent="0.25">
      <c r="A39" s="47"/>
      <c r="B39" s="48"/>
      <c r="C39" s="49"/>
    </row>
    <row r="40" spans="1:8" x14ac:dyDescent="0.25">
      <c r="A40" s="47"/>
      <c r="B40" s="48"/>
      <c r="C40" s="49"/>
    </row>
    <row r="41" spans="1:8" ht="29.25" customHeight="1" x14ac:dyDescent="0.25">
      <c r="A41" s="4"/>
      <c r="B41" s="9"/>
      <c r="C41" s="7"/>
    </row>
    <row r="42" spans="1:8" x14ac:dyDescent="0.25">
      <c r="A42" s="4"/>
      <c r="B42" s="9"/>
      <c r="C42" s="7"/>
      <c r="H42" t="s">
        <v>49</v>
      </c>
    </row>
    <row r="43" spans="1:8" x14ac:dyDescent="0.25">
      <c r="A43" s="4"/>
      <c r="B43" s="9"/>
      <c r="C43" s="7"/>
    </row>
    <row r="44" spans="1:8" x14ac:dyDescent="0.25">
      <c r="A44" s="4"/>
      <c r="B44" s="9"/>
      <c r="C44" s="7"/>
    </row>
    <row r="45" spans="1:8" x14ac:dyDescent="0.25">
      <c r="A45" s="4"/>
      <c r="B45" s="9"/>
      <c r="C45" s="7"/>
    </row>
    <row r="46" spans="1:8" x14ac:dyDescent="0.25">
      <c r="A46" s="4"/>
      <c r="B46" s="9"/>
      <c r="C46" s="7"/>
    </row>
    <row r="47" spans="1:8" x14ac:dyDescent="0.25">
      <c r="A47" s="4"/>
      <c r="B47" s="9"/>
      <c r="C47" s="7"/>
    </row>
    <row r="48" spans="1:8" x14ac:dyDescent="0.25">
      <c r="A48" s="4"/>
      <c r="B48" s="9"/>
      <c r="C48" s="7"/>
    </row>
    <row r="49" spans="1:3" ht="15.75" x14ac:dyDescent="0.25">
      <c r="A49" s="20"/>
      <c r="B49" s="21"/>
      <c r="C49" s="7"/>
    </row>
    <row r="50" spans="1:3" ht="15.75" x14ac:dyDescent="0.25">
      <c r="A50" s="20"/>
      <c r="B50" s="21"/>
      <c r="C50" s="7"/>
    </row>
    <row r="51" spans="1:3" ht="15.75" x14ac:dyDescent="0.25">
      <c r="A51" s="20"/>
      <c r="B51" s="21"/>
      <c r="C51" s="7"/>
    </row>
    <row r="52" spans="1:3" ht="15.75" x14ac:dyDescent="0.25">
      <c r="A52" s="20"/>
      <c r="B52" s="21"/>
      <c r="C52" s="7"/>
    </row>
    <row r="53" spans="1:3" ht="15.75" x14ac:dyDescent="0.25">
      <c r="A53" s="20"/>
      <c r="B53" s="21"/>
      <c r="C53" s="7"/>
    </row>
    <row r="54" spans="1:3" ht="15.75" x14ac:dyDescent="0.25">
      <c r="A54" s="20"/>
      <c r="B54" s="21"/>
      <c r="C54" s="7"/>
    </row>
    <row r="55" spans="1:3" ht="15.75" x14ac:dyDescent="0.25">
      <c r="A55" s="22"/>
      <c r="B55" s="21"/>
      <c r="C55" s="7"/>
    </row>
    <row r="56" spans="1:3" ht="15.75" x14ac:dyDescent="0.25">
      <c r="A56" s="22"/>
      <c r="B56" s="21"/>
      <c r="C56" s="7"/>
    </row>
    <row r="57" spans="1:3" x14ac:dyDescent="0.25">
      <c r="B57"/>
    </row>
    <row r="58" spans="1:3" x14ac:dyDescent="0.25">
      <c r="B58"/>
    </row>
    <row r="59" spans="1:3" x14ac:dyDescent="0.25">
      <c r="B59"/>
    </row>
    <row r="60" spans="1:3" x14ac:dyDescent="0.25">
      <c r="B60"/>
    </row>
    <row r="61" spans="1:3" x14ac:dyDescent="0.25">
      <c r="B6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97</vt:i4>
      </vt:variant>
    </vt:vector>
  </HeadingPairs>
  <TitlesOfParts>
    <vt:vector size="118" baseType="lpstr">
      <vt:lpstr>Смета</vt:lpstr>
      <vt:lpstr>Земляные работы</vt:lpstr>
      <vt:lpstr>Фундаменты</vt:lpstr>
      <vt:lpstr>Полы</vt:lpstr>
      <vt:lpstr>Металлокаркас</vt:lpstr>
      <vt:lpstr>Наружные стены и модули</vt:lpstr>
      <vt:lpstr>Кровля</vt:lpstr>
      <vt:lpstr>Двери</vt:lpstr>
      <vt:lpstr>Окна</vt:lpstr>
      <vt:lpstr>Ворота</vt:lpstr>
      <vt:lpstr>Перегородки</vt:lpstr>
      <vt:lpstr>Отделка</vt:lpstr>
      <vt:lpstr>Лестницы, крыльца</vt:lpstr>
      <vt:lpstr>БУ, отмостка, цоко</vt:lpstr>
      <vt:lpstr>ЭОМ</vt:lpstr>
      <vt:lpstr>ОиВ</vt:lpstr>
      <vt:lpstr>ВиК</vt:lpstr>
      <vt:lpstr>АПС</vt:lpstr>
      <vt:lpstr>СКС</vt:lpstr>
      <vt:lpstr>Оборудование ТХ</vt:lpstr>
      <vt:lpstr>Прочие</vt:lpstr>
      <vt:lpstr>АПС!АПС</vt:lpstr>
      <vt:lpstr>апс</vt:lpstr>
      <vt:lpstr>'БУ, отмостка, цоко'!благоустройство</vt:lpstr>
      <vt:lpstr>благоустройство</vt:lpstr>
      <vt:lpstr>ВиК!ВиК</vt:lpstr>
      <vt:lpstr>ВиК</vt:lpstr>
      <vt:lpstr>Ворота!ворота</vt:lpstr>
      <vt:lpstr>ворота</vt:lpstr>
      <vt:lpstr>Двери!Двери</vt:lpstr>
      <vt:lpstr>двери</vt:lpstr>
      <vt:lpstr>Прочие!заголовки</vt:lpstr>
      <vt:lpstr>'Земляные работы'!земляные</vt:lpstr>
      <vt:lpstr>земляные</vt:lpstr>
      <vt:lpstr>'Оборудование ТХ'!кранбалки</vt:lpstr>
      <vt:lpstr>кранбалки</vt:lpstr>
      <vt:lpstr>Кровля!кровля</vt:lpstr>
      <vt:lpstr>кровля</vt:lpstr>
      <vt:lpstr>лестницы</vt:lpstr>
      <vt:lpstr>'Лестницы, крыльца'!лестницыкрыльца</vt:lpstr>
      <vt:lpstr>Металлокаркас!металлокаркас</vt:lpstr>
      <vt:lpstr>металлокаркас</vt:lpstr>
      <vt:lpstr>'Наружные стены и модули'!наружныестены</vt:lpstr>
      <vt:lpstr>наружныестены</vt:lpstr>
      <vt:lpstr>ОиВ!ОиВ</vt:lpstr>
      <vt:lpstr>ОиВ</vt:lpstr>
      <vt:lpstr>Окна!окна</vt:lpstr>
      <vt:lpstr>окна</vt:lpstr>
      <vt:lpstr>Отделка!отделка</vt:lpstr>
      <vt:lpstr>отделка</vt:lpstr>
      <vt:lpstr>Перегородки!пергородка</vt:lpstr>
      <vt:lpstr>Перегородки!перегородки</vt:lpstr>
      <vt:lpstr>перегородки</vt:lpstr>
      <vt:lpstr>Полы!полы</vt:lpstr>
      <vt:lpstr>полы</vt:lpstr>
      <vt:lpstr>АПС!Прайс</vt:lpstr>
      <vt:lpstr>'БУ, отмостка, цоко'!Прайс</vt:lpstr>
      <vt:lpstr>ВиК!Прайс</vt:lpstr>
      <vt:lpstr>Ворота!Прайс</vt:lpstr>
      <vt:lpstr>Двери!Прайс</vt:lpstr>
      <vt:lpstr>'Земляные работы'!Прайс</vt:lpstr>
      <vt:lpstr>Кровля!Прайс</vt:lpstr>
      <vt:lpstr>'Лестницы, крыльца'!Прайс</vt:lpstr>
      <vt:lpstr>Металлокаркас!Прайс</vt:lpstr>
      <vt:lpstr>'Наружные стены и модули'!Прайс</vt:lpstr>
      <vt:lpstr>'Оборудование ТХ'!Прайс</vt:lpstr>
      <vt:lpstr>ОиВ!Прайс</vt:lpstr>
      <vt:lpstr>Окна!Прайс</vt:lpstr>
      <vt:lpstr>Отделка!Прайс</vt:lpstr>
      <vt:lpstr>Перегородки!Прайс</vt:lpstr>
      <vt:lpstr>Полы!Прайс</vt:lpstr>
      <vt:lpstr>Прочие!Прайс</vt:lpstr>
      <vt:lpstr>Фундаменты!Прайс</vt:lpstr>
      <vt:lpstr>ЭОМ!Прайс</vt:lpstr>
      <vt:lpstr>проект</vt:lpstr>
      <vt:lpstr>прочее</vt:lpstr>
      <vt:lpstr>прочие</vt:lpstr>
      <vt:lpstr>АПС!Фундаменты</vt:lpstr>
      <vt:lpstr>'БУ, отмостка, цоко'!Фундаменты</vt:lpstr>
      <vt:lpstr>ВиК!Фундаменты</vt:lpstr>
      <vt:lpstr>Ворота!Фундаменты</vt:lpstr>
      <vt:lpstr>Двери!Фундаменты</vt:lpstr>
      <vt:lpstr>'Земляные работы'!Фундаменты</vt:lpstr>
      <vt:lpstr>Кровля!Фундаменты</vt:lpstr>
      <vt:lpstr>'Лестницы, крыльца'!Фундаменты</vt:lpstr>
      <vt:lpstr>Металлокаркас!Фундаменты</vt:lpstr>
      <vt:lpstr>'Наружные стены и модули'!Фундаменты</vt:lpstr>
      <vt:lpstr>'Оборудование ТХ'!Фундаменты</vt:lpstr>
      <vt:lpstr>ОиВ!Фундаменты</vt:lpstr>
      <vt:lpstr>Окна!Фундаменты</vt:lpstr>
      <vt:lpstr>Отделка!Фундаменты</vt:lpstr>
      <vt:lpstr>Перегородки!Фундаменты</vt:lpstr>
      <vt:lpstr>Полы!Фундаменты</vt:lpstr>
      <vt:lpstr>Прочие!Фундаменты</vt:lpstr>
      <vt:lpstr>Фундаменты!фундаменты</vt:lpstr>
      <vt:lpstr>ЭОМ!Фундаменты</vt:lpstr>
      <vt:lpstr>Фундаменты</vt:lpstr>
      <vt:lpstr>АПС!цены</vt:lpstr>
      <vt:lpstr>'БУ, отмостка, цоко'!цены</vt:lpstr>
      <vt:lpstr>ВиК!цены</vt:lpstr>
      <vt:lpstr>Ворота!цены</vt:lpstr>
      <vt:lpstr>Двери!цены</vt:lpstr>
      <vt:lpstr>'Земляные работы'!цены</vt:lpstr>
      <vt:lpstr>Кровля!цены</vt:lpstr>
      <vt:lpstr>'Лестницы, крыльца'!цены</vt:lpstr>
      <vt:lpstr>Металлокаркас!цены</vt:lpstr>
      <vt:lpstr>'Наружные стены и модули'!цены</vt:lpstr>
      <vt:lpstr>'Оборудование ТХ'!цены</vt:lpstr>
      <vt:lpstr>ОиВ!цены</vt:lpstr>
      <vt:lpstr>Окна!цены</vt:lpstr>
      <vt:lpstr>Отделка!цены</vt:lpstr>
      <vt:lpstr>Перегородки!цены</vt:lpstr>
      <vt:lpstr>Полы!цены</vt:lpstr>
      <vt:lpstr>Прочие!цены</vt:lpstr>
      <vt:lpstr>Фундаменты!цены</vt:lpstr>
      <vt:lpstr>ЭОМ!цены</vt:lpstr>
      <vt:lpstr>ЭОМ!ЭОМ</vt:lpstr>
      <vt:lpstr>ЭОМ</vt:lpstr>
    </vt:vector>
  </TitlesOfParts>
  <Company>АвистаМодуль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Анищенко Вадим</cp:lastModifiedBy>
  <cp:lastPrinted>2014-03-18T01:43:55Z</cp:lastPrinted>
  <dcterms:created xsi:type="dcterms:W3CDTF">2013-11-27T09:44:20Z</dcterms:created>
  <dcterms:modified xsi:type="dcterms:W3CDTF">2014-04-08T12:24:44Z</dcterms:modified>
</cp:coreProperties>
</file>