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6" windowWidth="2088" windowHeight="6036" tabRatio="746" activeTab="1"/>
  </bookViews>
  <sheets>
    <sheet name="Коэф." sheetId="1" r:id="rId1"/>
    <sheet name="Теплопотери" sheetId="2" r:id="rId2"/>
  </sheets>
  <definedNames>
    <definedName name="_xlnm.Print_Area" localSheetId="1">'Теплопотери'!$A$1:$T$11</definedName>
  </definedNames>
  <calcPr fullCalcOnLoad="1"/>
</workbook>
</file>

<file path=xl/sharedStrings.xml><?xml version="1.0" encoding="utf-8"?>
<sst xmlns="http://schemas.openxmlformats.org/spreadsheetml/2006/main" count="84" uniqueCount="51">
  <si>
    <t>площадь</t>
  </si>
  <si>
    <t>перекрытие чердачное</t>
  </si>
  <si>
    <t xml:space="preserve">окно </t>
  </si>
  <si>
    <t>дверь</t>
  </si>
  <si>
    <t>дельта</t>
  </si>
  <si>
    <t>R</t>
  </si>
  <si>
    <t>K</t>
  </si>
  <si>
    <t>нс</t>
  </si>
  <si>
    <t>№</t>
  </si>
  <si>
    <t>tвн</t>
  </si>
  <si>
    <t>ограждение</t>
  </si>
  <si>
    <t>наименование</t>
  </si>
  <si>
    <t>ориентация</t>
  </si>
  <si>
    <t>размеры а*b</t>
  </si>
  <si>
    <t>коэффициент n</t>
  </si>
  <si>
    <t>Основные теплопотери</t>
  </si>
  <si>
    <r>
      <t>b</t>
    </r>
    <r>
      <rPr>
        <sz val="8"/>
        <rFont val="Arial Cyr"/>
        <family val="2"/>
      </rPr>
      <t>ор</t>
    </r>
  </si>
  <si>
    <t>Qор</t>
  </si>
  <si>
    <t>Суммарные теплопотери</t>
  </si>
  <si>
    <t>Qо+Qдоп</t>
  </si>
  <si>
    <t>название</t>
  </si>
  <si>
    <t>Красч</t>
  </si>
  <si>
    <t>I</t>
  </si>
  <si>
    <t>II</t>
  </si>
  <si>
    <t>III</t>
  </si>
  <si>
    <t>IV</t>
  </si>
  <si>
    <t>до</t>
  </si>
  <si>
    <t>Qинф</t>
  </si>
  <si>
    <t>пт</t>
  </si>
  <si>
    <t>прочие</t>
  </si>
  <si>
    <t>Qпр</t>
  </si>
  <si>
    <r>
      <t>b</t>
    </r>
    <r>
      <rPr>
        <sz val="8"/>
        <rFont val="Arial Cyr"/>
        <family val="2"/>
      </rPr>
      <t>пр</t>
    </r>
  </si>
  <si>
    <t>расчетная темп. нар.воздуха</t>
  </si>
  <si>
    <t>расчетная разность темп.</t>
  </si>
  <si>
    <t>сумма</t>
  </si>
  <si>
    <t>наружняя стена</t>
  </si>
  <si>
    <t>внутренняя стена</t>
  </si>
  <si>
    <t>внутренняя окно</t>
  </si>
  <si>
    <t>перекрытие этажа</t>
  </si>
  <si>
    <t>пол этажа</t>
  </si>
  <si>
    <t>пл</t>
  </si>
  <si>
    <t>?</t>
  </si>
  <si>
    <t>Кухня</t>
  </si>
  <si>
    <t>Жилая комната</t>
  </si>
  <si>
    <t>Площадь помещения, м.кв</t>
  </si>
  <si>
    <t>Термические сопротивления приняты согласно разделу энергетической эффективности (Д-109-1-ЭЭФ)</t>
  </si>
  <si>
    <t>коэфф. теплопередачи</t>
  </si>
  <si>
    <t>ДОМ 130</t>
  </si>
  <si>
    <t>Холл</t>
  </si>
  <si>
    <t>Гостинная</t>
  </si>
  <si>
    <t>Сан узел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</si>
</sst>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0"/>
    <numFmt numFmtId="167" formatCode="0.00000"/>
    <numFmt numFmtId="168" formatCode="0.0000"/>
    <numFmt numFmtId="169" formatCode="[$-FC19]d\ mmmm\ yyyy\ &quot;г.&quot;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"/>
    <numFmt numFmtId="183" formatCode="0.00000000"/>
    <numFmt numFmtId="184" formatCode="0.000000000"/>
    <numFmt numFmtId="185" formatCode="0.0%"/>
    <numFmt numFmtId="186" formatCode="_(* #,##0.0_);_(* \(#,##0.0\);_(* &quot;-&quot;??_);_(@_)"/>
    <numFmt numFmtId="187" formatCode="_(* #,##0_);_(* \(#,##0\);_(* &quot;-&quot;??_);_(@_)"/>
    <numFmt numFmtId="188" formatCode="000"/>
    <numFmt numFmtId="189" formatCode="\100"/>
    <numFmt numFmtId="190" formatCode="\200"/>
  </numFmts>
  <fonts count="44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  <font>
      <sz val="8"/>
      <name val="Symbol"/>
      <family val="1"/>
    </font>
    <font>
      <sz val="10"/>
      <color indexed="10"/>
      <name val="Arial Cyr"/>
      <family val="0"/>
    </font>
    <font>
      <sz val="10"/>
      <color indexed="8"/>
      <name val="Times New Roman"/>
      <family val="1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textRotation="90"/>
    </xf>
    <xf numFmtId="0" fontId="5" fillId="32" borderId="10" xfId="0" applyFont="1" applyFill="1" applyBorder="1" applyAlignment="1">
      <alignment horizontal="center" vertical="center"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10" borderId="11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/>
    </xf>
    <xf numFmtId="49" fontId="1" fillId="4" borderId="13" xfId="0" applyNumberFormat="1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65" fontId="1" fillId="33" borderId="14" xfId="0" applyNumberFormat="1" applyFont="1" applyFill="1" applyBorder="1" applyAlignment="1">
      <alignment horizontal="center" vertical="center"/>
    </xf>
    <xf numFmtId="164" fontId="1" fillId="33" borderId="14" xfId="0" applyNumberFormat="1" applyFont="1" applyFill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33" borderId="14" xfId="0" applyFont="1" applyFill="1" applyBorder="1" applyAlignment="1">
      <alignment horizontal="center"/>
    </xf>
    <xf numFmtId="0" fontId="1" fillId="4" borderId="18" xfId="0" applyNumberFormat="1" applyFont="1" applyFill="1" applyBorder="1" applyAlignment="1">
      <alignment horizontal="center" vertical="center"/>
    </xf>
    <xf numFmtId="2" fontId="1" fillId="4" borderId="14" xfId="0" applyNumberFormat="1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/>
    </xf>
    <xf numFmtId="164" fontId="1" fillId="33" borderId="15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7" fillId="0" borderId="0" xfId="0" applyFont="1" applyAlignment="1">
      <alignment/>
    </xf>
    <xf numFmtId="2" fontId="0" fillId="0" borderId="0" xfId="0" applyNumberFormat="1" applyFont="1" applyAlignment="1">
      <alignment/>
    </xf>
    <xf numFmtId="164" fontId="1" fillId="4" borderId="14" xfId="0" applyNumberFormat="1" applyFont="1" applyFill="1" applyBorder="1" applyAlignment="1">
      <alignment horizontal="center" vertical="center"/>
    </xf>
    <xf numFmtId="164" fontId="1" fillId="33" borderId="14" xfId="0" applyNumberFormat="1" applyFont="1" applyFill="1" applyBorder="1" applyAlignment="1">
      <alignment horizontal="center"/>
    </xf>
    <xf numFmtId="2" fontId="1" fillId="0" borderId="17" xfId="0" applyNumberFormat="1" applyFont="1" applyBorder="1" applyAlignment="1">
      <alignment horizontal="center" vertical="center"/>
    </xf>
    <xf numFmtId="164" fontId="1" fillId="33" borderId="15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43" fillId="0" borderId="0" xfId="0" applyNumberFormat="1" applyFont="1" applyAlignment="1">
      <alignment/>
    </xf>
    <xf numFmtId="164" fontId="0" fillId="0" borderId="20" xfId="0" applyNumberFormat="1" applyBorder="1" applyAlignment="1">
      <alignment/>
    </xf>
    <xf numFmtId="0" fontId="4" fillId="10" borderId="12" xfId="0" applyNumberFormat="1" applyFont="1" applyFill="1" applyBorder="1" applyAlignment="1">
      <alignment horizontal="center" vertical="center"/>
    </xf>
    <xf numFmtId="0" fontId="4" fillId="32" borderId="21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" fontId="1" fillId="33" borderId="24" xfId="0" applyNumberFormat="1" applyFont="1" applyFill="1" applyBorder="1" applyAlignment="1">
      <alignment horizontal="center" vertical="center"/>
    </xf>
    <xf numFmtId="1" fontId="1" fillId="33" borderId="25" xfId="0" applyNumberFormat="1" applyFont="1" applyFill="1" applyBorder="1" applyAlignment="1">
      <alignment horizontal="center" vertical="center"/>
    </xf>
    <xf numFmtId="1" fontId="1" fillId="33" borderId="26" xfId="0" applyNumberFormat="1" applyFont="1" applyFill="1" applyBorder="1" applyAlignment="1">
      <alignment horizontal="center" vertical="center"/>
    </xf>
    <xf numFmtId="1" fontId="1" fillId="33" borderId="27" xfId="0" applyNumberFormat="1" applyFont="1" applyFill="1" applyBorder="1" applyAlignment="1">
      <alignment horizontal="center" vertical="center"/>
    </xf>
    <xf numFmtId="1" fontId="8" fillId="0" borderId="28" xfId="0" applyNumberFormat="1" applyFont="1" applyBorder="1" applyAlignment="1">
      <alignment horizontal="center" vertical="center" textRotation="90"/>
    </xf>
    <xf numFmtId="0" fontId="8" fillId="0" borderId="29" xfId="0" applyFont="1" applyBorder="1" applyAlignment="1">
      <alignment horizontal="center" vertical="center" textRotation="90"/>
    </xf>
    <xf numFmtId="0" fontId="8" fillId="0" borderId="30" xfId="0" applyFont="1" applyBorder="1" applyAlignment="1">
      <alignment horizontal="center" vertical="center" textRotation="90"/>
    </xf>
    <xf numFmtId="0" fontId="4" fillId="10" borderId="21" xfId="0" applyFont="1" applyFill="1" applyBorder="1" applyAlignment="1">
      <alignment horizontal="center" vertical="center"/>
    </xf>
    <xf numFmtId="0" fontId="0" fillId="0" borderId="31" xfId="0" applyBorder="1" applyAlignment="1">
      <alignment/>
    </xf>
    <xf numFmtId="0" fontId="4" fillId="10" borderId="32" xfId="0" applyFont="1" applyFill="1" applyBorder="1" applyAlignment="1">
      <alignment horizontal="center" vertical="center"/>
    </xf>
    <xf numFmtId="0" fontId="4" fillId="10" borderId="31" xfId="0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 textRotation="90"/>
    </xf>
    <xf numFmtId="0" fontId="0" fillId="0" borderId="19" xfId="0" applyBorder="1" applyAlignment="1">
      <alignment/>
    </xf>
    <xf numFmtId="0" fontId="1" fillId="32" borderId="33" xfId="0" applyFont="1" applyFill="1" applyBorder="1" applyAlignment="1">
      <alignment horizontal="center" vertical="center"/>
    </xf>
    <xf numFmtId="0" fontId="1" fillId="32" borderId="34" xfId="0" applyFont="1" applyFill="1" applyBorder="1" applyAlignment="1">
      <alignment horizontal="center" vertical="center"/>
    </xf>
    <xf numFmtId="0" fontId="1" fillId="32" borderId="35" xfId="0" applyFont="1" applyFill="1" applyBorder="1" applyAlignment="1">
      <alignment horizontal="center" vertical="center"/>
    </xf>
    <xf numFmtId="0" fontId="1" fillId="32" borderId="26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/>
    </xf>
    <xf numFmtId="0" fontId="1" fillId="32" borderId="24" xfId="0" applyFont="1" applyFill="1" applyBorder="1" applyAlignment="1">
      <alignment horizontal="center" vertical="center" textRotation="90" wrapText="1"/>
    </xf>
    <xf numFmtId="0" fontId="1" fillId="32" borderId="24" xfId="0" applyFont="1" applyFill="1" applyBorder="1" applyAlignment="1">
      <alignment horizontal="center" vertical="center" textRotation="90" wrapText="1" shrinkToFit="1"/>
    </xf>
    <xf numFmtId="0" fontId="1" fillId="32" borderId="36" xfId="0" applyFont="1" applyFill="1" applyBorder="1" applyAlignment="1">
      <alignment horizontal="center" vertical="center" textRotation="90"/>
    </xf>
    <xf numFmtId="0" fontId="1" fillId="32" borderId="37" xfId="0" applyFont="1" applyFill="1" applyBorder="1" applyAlignment="1">
      <alignment horizontal="center" vertical="center" textRotation="90"/>
    </xf>
    <xf numFmtId="49" fontId="1" fillId="32" borderId="38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/>
    </xf>
    <xf numFmtId="0" fontId="1" fillId="32" borderId="24" xfId="0" applyFont="1" applyFill="1" applyBorder="1" applyAlignment="1">
      <alignment horizontal="center" vertical="center"/>
    </xf>
    <xf numFmtId="164" fontId="1" fillId="32" borderId="26" xfId="0" applyNumberFormat="1" applyFont="1" applyFill="1" applyBorder="1" applyAlignment="1">
      <alignment horizontal="center" vertical="center" textRotation="90" wrapText="1"/>
    </xf>
    <xf numFmtId="164" fontId="0" fillId="0" borderId="20" xfId="0" applyNumberFormat="1" applyBorder="1" applyAlignment="1">
      <alignment/>
    </xf>
    <xf numFmtId="164" fontId="1" fillId="33" borderId="26" xfId="0" applyNumberFormat="1" applyFont="1" applyFill="1" applyBorder="1" applyAlignment="1">
      <alignment horizontal="center" vertical="center"/>
    </xf>
    <xf numFmtId="164" fontId="1" fillId="33" borderId="27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E24" sqref="E24"/>
    </sheetView>
  </sheetViews>
  <sheetFormatPr defaultColWidth="8.625" defaultRowHeight="12.75"/>
  <cols>
    <col min="1" max="1" width="20.875" style="0" customWidth="1"/>
    <col min="2" max="2" width="6.875" style="0" bestFit="1" customWidth="1"/>
    <col min="3" max="3" width="5.00390625" style="0" bestFit="1" customWidth="1"/>
    <col min="4" max="4" width="12.00390625" style="0" bestFit="1" customWidth="1"/>
    <col min="5" max="5" width="8.625" style="0" customWidth="1"/>
    <col min="6" max="6" width="12.00390625" style="0" bestFit="1" customWidth="1"/>
  </cols>
  <sheetData>
    <row r="1" ht="12.75">
      <c r="A1" t="s">
        <v>45</v>
      </c>
    </row>
    <row r="3" spans="2:6" ht="12.75">
      <c r="B3" t="s">
        <v>4</v>
      </c>
      <c r="C3" t="s">
        <v>5</v>
      </c>
      <c r="D3" t="s">
        <v>6</v>
      </c>
      <c r="F3" t="s">
        <v>21</v>
      </c>
    </row>
    <row r="4" spans="1:6" ht="12.75">
      <c r="A4" t="s">
        <v>35</v>
      </c>
      <c r="C4" s="4">
        <v>3.5</v>
      </c>
      <c r="D4">
        <f aca="true" t="shared" si="0" ref="D4:D11">1/$C4</f>
        <v>0.2857142857142857</v>
      </c>
      <c r="F4">
        <f aca="true" t="shared" si="1" ref="F4:F9">D4</f>
        <v>0.2857142857142857</v>
      </c>
    </row>
    <row r="5" spans="1:6" ht="12.75">
      <c r="A5" t="s">
        <v>36</v>
      </c>
      <c r="C5" s="4"/>
      <c r="D5" t="e">
        <f t="shared" si="0"/>
        <v>#DIV/0!</v>
      </c>
      <c r="F5" t="e">
        <f t="shared" si="1"/>
        <v>#DIV/0!</v>
      </c>
    </row>
    <row r="6" spans="1:6" ht="12.75">
      <c r="A6" t="s">
        <v>37</v>
      </c>
      <c r="C6" s="28"/>
      <c r="D6" t="e">
        <f t="shared" si="0"/>
        <v>#DIV/0!</v>
      </c>
      <c r="F6" t="e">
        <f t="shared" si="1"/>
        <v>#DIV/0!</v>
      </c>
    </row>
    <row r="7" spans="1:6" ht="12.75">
      <c r="A7" t="s">
        <v>1</v>
      </c>
      <c r="C7" s="4">
        <v>4.78</v>
      </c>
      <c r="D7">
        <f t="shared" si="0"/>
        <v>0.20920502092050208</v>
      </c>
      <c r="F7">
        <f t="shared" si="1"/>
        <v>0.20920502092050208</v>
      </c>
    </row>
    <row r="8" spans="1:6" ht="12.75">
      <c r="A8" t="s">
        <v>38</v>
      </c>
      <c r="B8" t="s">
        <v>41</v>
      </c>
      <c r="C8" s="37">
        <v>1.87</v>
      </c>
      <c r="D8">
        <f t="shared" si="0"/>
        <v>0.53475935828877</v>
      </c>
      <c r="F8">
        <f t="shared" si="1"/>
        <v>0.53475935828877</v>
      </c>
    </row>
    <row r="9" spans="1:6" ht="12.75">
      <c r="A9" t="s">
        <v>39</v>
      </c>
      <c r="C9" s="30"/>
      <c r="D9" t="e">
        <f t="shared" si="0"/>
        <v>#DIV/0!</v>
      </c>
      <c r="F9" t="e">
        <f t="shared" si="1"/>
        <v>#DIV/0!</v>
      </c>
    </row>
    <row r="10" spans="1:6" ht="12.75">
      <c r="A10" t="s">
        <v>2</v>
      </c>
      <c r="C10" s="4">
        <v>0.65</v>
      </c>
      <c r="D10">
        <f t="shared" si="0"/>
        <v>1.5384615384615383</v>
      </c>
      <c r="F10">
        <f>D10</f>
        <v>1.5384615384615383</v>
      </c>
    </row>
    <row r="11" spans="1:6" ht="12.75">
      <c r="A11" t="s">
        <v>3</v>
      </c>
      <c r="C11">
        <v>1.4</v>
      </c>
      <c r="D11">
        <f t="shared" si="0"/>
        <v>0.7142857142857143</v>
      </c>
      <c r="F11">
        <f>D11</f>
        <v>0.7142857142857143</v>
      </c>
    </row>
    <row r="12" spans="1:6" ht="12.75">
      <c r="A12" t="s">
        <v>22</v>
      </c>
      <c r="C12" s="5">
        <v>2.1</v>
      </c>
      <c r="F12">
        <f>1/C12</f>
        <v>0.47619047619047616</v>
      </c>
    </row>
    <row r="13" spans="1:6" ht="12.75">
      <c r="A13" t="s">
        <v>23</v>
      </c>
      <c r="C13" s="5">
        <v>4.3</v>
      </c>
      <c r="F13">
        <f>1/C13</f>
        <v>0.23255813953488372</v>
      </c>
    </row>
    <row r="14" spans="1:6" ht="12.75">
      <c r="A14" t="s">
        <v>24</v>
      </c>
      <c r="C14" s="5">
        <v>8.6</v>
      </c>
      <c r="F14">
        <f>1/C14</f>
        <v>0.11627906976744186</v>
      </c>
    </row>
    <row r="15" spans="1:6" ht="12.75">
      <c r="A15" t="s">
        <v>25</v>
      </c>
      <c r="C15" s="5">
        <v>14.2</v>
      </c>
      <c r="F15">
        <f>1/C15</f>
        <v>0.07042253521126761</v>
      </c>
    </row>
    <row r="27" ht="12.75">
      <c r="B27" s="28"/>
    </row>
    <row r="28" ht="12.75">
      <c r="B28" s="28"/>
    </row>
    <row r="30" ht="12.75">
      <c r="B30" s="28"/>
    </row>
    <row r="31" ht="12.75">
      <c r="B31" s="28"/>
    </row>
    <row r="33" spans="2:6" ht="12.75">
      <c r="B33" s="28"/>
      <c r="F33" s="29"/>
    </row>
    <row r="34" ht="12.75">
      <c r="B34" s="2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8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T5" sqref="T5:T10"/>
    </sheetView>
  </sheetViews>
  <sheetFormatPr defaultColWidth="9.125" defaultRowHeight="12.75"/>
  <cols>
    <col min="1" max="1" width="6.00390625" style="17" customWidth="1"/>
    <col min="2" max="2" width="17.00390625" style="6" customWidth="1"/>
    <col min="3" max="3" width="3.50390625" style="6" bestFit="1" customWidth="1"/>
    <col min="4" max="5" width="3.00390625" style="6" bestFit="1" customWidth="1"/>
    <col min="6" max="7" width="4.625" style="6" customWidth="1"/>
    <col min="8" max="8" width="6.375" style="6" customWidth="1"/>
    <col min="9" max="9" width="4.125" style="6" customWidth="1"/>
    <col min="10" max="10" width="4.625" style="6" customWidth="1"/>
    <col min="11" max="11" width="4.375" style="6" customWidth="1"/>
    <col min="12" max="12" width="6.375" style="6" customWidth="1"/>
    <col min="13" max="13" width="9.00390625" style="6" customWidth="1"/>
    <col min="14" max="14" width="6.50390625" style="6" customWidth="1"/>
    <col min="15" max="15" width="6.375" style="6" customWidth="1"/>
    <col min="16" max="16" width="3.625" style="6" customWidth="1"/>
    <col min="17" max="17" width="6.125" style="6" customWidth="1"/>
    <col min="18" max="18" width="8.375" style="6" customWidth="1"/>
    <col min="19" max="19" width="7.125" style="6" customWidth="1"/>
    <col min="20" max="20" width="7.50390625" style="6" customWidth="1"/>
    <col min="21" max="21" width="5.25390625" style="6" customWidth="1"/>
    <col min="22" max="22" width="17.25390625" style="6" customWidth="1"/>
    <col min="23" max="23" width="19.875" style="6" customWidth="1"/>
    <col min="24" max="24" width="18.25390625" style="6" customWidth="1"/>
    <col min="25" max="25" width="7.50390625" style="22" customWidth="1"/>
    <col min="26" max="26" width="4.50390625" style="6" bestFit="1" customWidth="1"/>
    <col min="27" max="27" width="3.00390625" style="6" bestFit="1" customWidth="1"/>
    <col min="28" max="28" width="2.625" style="6" bestFit="1" customWidth="1"/>
    <col min="29" max="30" width="3.50390625" style="6" bestFit="1" customWidth="1"/>
    <col min="31" max="31" width="6.125" style="6" bestFit="1" customWidth="1"/>
    <col min="32" max="32" width="2.875" style="6" bestFit="1" customWidth="1"/>
    <col min="33" max="16384" width="9.125" style="6" customWidth="1"/>
  </cols>
  <sheetData>
    <row r="1" spans="1:25" ht="12.75" customHeight="1">
      <c r="A1" s="65" t="s">
        <v>8</v>
      </c>
      <c r="B1" s="54" t="s">
        <v>20</v>
      </c>
      <c r="C1" s="67" t="s">
        <v>9</v>
      </c>
      <c r="D1" s="56" t="s">
        <v>10</v>
      </c>
      <c r="E1" s="57"/>
      <c r="F1" s="57"/>
      <c r="G1" s="57"/>
      <c r="H1" s="58"/>
      <c r="I1" s="62" t="s">
        <v>32</v>
      </c>
      <c r="J1" s="62" t="s">
        <v>33</v>
      </c>
      <c r="K1" s="62" t="s">
        <v>14</v>
      </c>
      <c r="L1" s="62" t="s">
        <v>46</v>
      </c>
      <c r="M1" s="62" t="s">
        <v>15</v>
      </c>
      <c r="N1" s="56" t="s">
        <v>12</v>
      </c>
      <c r="O1" s="58"/>
      <c r="P1" s="56" t="s">
        <v>29</v>
      </c>
      <c r="Q1" s="58"/>
      <c r="R1" s="61" t="s">
        <v>19</v>
      </c>
      <c r="S1" s="61" t="s">
        <v>27</v>
      </c>
      <c r="T1" s="59" t="s">
        <v>18</v>
      </c>
      <c r="V1" s="6">
        <v>1</v>
      </c>
      <c r="W1" s="6">
        <v>2</v>
      </c>
      <c r="X1" s="6" t="s">
        <v>34</v>
      </c>
      <c r="Y1" s="68" t="s">
        <v>44</v>
      </c>
    </row>
    <row r="2" spans="1:25" ht="48" customHeight="1" thickBot="1">
      <c r="A2" s="66"/>
      <c r="B2" s="55"/>
      <c r="C2" s="55"/>
      <c r="D2" s="2" t="s">
        <v>11</v>
      </c>
      <c r="E2" s="2" t="s">
        <v>12</v>
      </c>
      <c r="F2" s="63" t="s">
        <v>13</v>
      </c>
      <c r="G2" s="64"/>
      <c r="H2" s="2" t="s">
        <v>0</v>
      </c>
      <c r="I2" s="55"/>
      <c r="J2" s="55"/>
      <c r="K2" s="55"/>
      <c r="L2" s="55"/>
      <c r="M2" s="55"/>
      <c r="N2" s="3" t="s">
        <v>16</v>
      </c>
      <c r="O2" s="1" t="s">
        <v>17</v>
      </c>
      <c r="P2" s="3" t="s">
        <v>31</v>
      </c>
      <c r="Q2" s="1" t="s">
        <v>30</v>
      </c>
      <c r="R2" s="55"/>
      <c r="S2" s="55"/>
      <c r="T2" s="60"/>
      <c r="W2" s="21" t="e">
        <f>#REF!</f>
        <v>#REF!</v>
      </c>
      <c r="X2" s="21" t="e">
        <f>#REF!</f>
        <v>#REF!</v>
      </c>
      <c r="Y2" s="69"/>
    </row>
    <row r="3" spans="1:25" ht="13.5" customHeight="1" thickBot="1">
      <c r="A3" s="50">
        <v>1</v>
      </c>
      <c r="B3" s="51"/>
      <c r="C3" s="7">
        <v>2</v>
      </c>
      <c r="D3" s="7">
        <v>3</v>
      </c>
      <c r="E3" s="7">
        <v>4</v>
      </c>
      <c r="F3" s="52">
        <v>5</v>
      </c>
      <c r="G3" s="53"/>
      <c r="H3" s="7">
        <v>6</v>
      </c>
      <c r="I3" s="7">
        <v>7</v>
      </c>
      <c r="J3" s="7">
        <v>8</v>
      </c>
      <c r="K3" s="7">
        <v>9</v>
      </c>
      <c r="L3" s="7">
        <v>10</v>
      </c>
      <c r="M3" s="7">
        <v>11</v>
      </c>
      <c r="N3" s="52">
        <v>12</v>
      </c>
      <c r="O3" s="53"/>
      <c r="P3" s="52">
        <v>13</v>
      </c>
      <c r="Q3" s="51"/>
      <c r="R3" s="7">
        <v>14</v>
      </c>
      <c r="S3" s="7">
        <v>15</v>
      </c>
      <c r="T3" s="8">
        <v>16</v>
      </c>
      <c r="Y3" s="39">
        <v>17</v>
      </c>
    </row>
    <row r="4" spans="1:31" ht="13.5" thickBot="1">
      <c r="A4" s="40" t="s">
        <v>47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2"/>
      <c r="U4" s="21"/>
      <c r="AE4" s="21"/>
    </row>
    <row r="5" spans="1:31" ht="9.75">
      <c r="A5" s="24">
        <v>5</v>
      </c>
      <c r="B5" s="16" t="s">
        <v>42</v>
      </c>
      <c r="C5" s="12">
        <v>18</v>
      </c>
      <c r="D5" s="16" t="s">
        <v>7</v>
      </c>
      <c r="E5" s="16"/>
      <c r="F5" s="16">
        <v>4.2</v>
      </c>
      <c r="G5" s="16">
        <v>3.8</v>
      </c>
      <c r="H5" s="27">
        <f>F5*G5</f>
        <v>15.959999999999999</v>
      </c>
      <c r="I5" s="16">
        <v>-39</v>
      </c>
      <c r="J5" s="12">
        <f>C5-I5</f>
        <v>57</v>
      </c>
      <c r="K5" s="11">
        <f>IF(D5="нс",1,IF(D5="до",1,IF(D5="пт",0.9,IF(D5="дв",1,(C5-I5)/(C5--39)))))</f>
        <v>1</v>
      </c>
      <c r="L5" s="18">
        <f>IF(D5="нс",'Коэф.'!$F$4,IF(D5="вс",'Коэф.'!$F$5,IF(D5="во",'Коэф.'!$F$6,IF(D5="пт",'Коэф.'!$F$7,IF(D5="эп",'Коэф.'!$F$8,IF(D5="пл",'Коэф.'!$F$8,IF(D5="до",'Коэф.'!$F$10,IF(D5="дв",'Коэф.'!$F$11,))))))))</f>
        <v>0.2857142857142857</v>
      </c>
      <c r="M5" s="12">
        <f>H5*J5*K5*L5</f>
        <v>259.91999999999996</v>
      </c>
      <c r="N5" s="26">
        <v>0.13</v>
      </c>
      <c r="O5" s="34">
        <f>M5*N5</f>
        <v>33.78959999999999</v>
      </c>
      <c r="P5" s="25"/>
      <c r="Q5" s="31"/>
      <c r="R5" s="12">
        <f>M5+O5+Q5</f>
        <v>293.70959999999997</v>
      </c>
      <c r="S5" s="43">
        <f>60*J5*0.43</f>
        <v>1470.6</v>
      </c>
      <c r="T5" s="45">
        <f>ROUND((R11+S5),-1)</f>
        <v>3250</v>
      </c>
      <c r="U5" s="47">
        <f>T5+T12+T19+T26+T33+T38+T43</f>
        <v>19950</v>
      </c>
      <c r="Y5" s="70"/>
      <c r="AE5" s="21"/>
    </row>
    <row r="6" spans="1:31" ht="9.75" customHeight="1">
      <c r="A6" s="24"/>
      <c r="B6" s="10"/>
      <c r="C6" s="12">
        <v>18</v>
      </c>
      <c r="D6" s="10" t="s">
        <v>7</v>
      </c>
      <c r="E6" s="16"/>
      <c r="F6" s="10">
        <v>5</v>
      </c>
      <c r="G6" s="10">
        <v>3.8</v>
      </c>
      <c r="H6" s="19">
        <f>F6*G6</f>
        <v>19</v>
      </c>
      <c r="I6" s="16">
        <v>-39</v>
      </c>
      <c r="J6" s="11">
        <f>C6-I6</f>
        <v>57</v>
      </c>
      <c r="K6" s="11">
        <f>IF(D6="нс",1,IF(D6="до",1,IF(D6="пт",0.9,IF(D6="дв",1,(C6-I6)/(C6--39)))))</f>
        <v>1</v>
      </c>
      <c r="L6" s="18">
        <f>IF(D6="нс",'Коэф.'!$F$4,IF(D6="вс",'Коэф.'!$F$5,IF(D6="во",'Коэф.'!$F$6,IF(D6="пт",'Коэф.'!$F$7,IF(D6="эп",'Коэф.'!$F$8,IF(D6="пл",'Коэф.'!$F$8,IF(D6="до",'Коэф.'!$F$10,IF(D6="дв",'Коэф.'!$F$11,))))))))</f>
        <v>0.2857142857142857</v>
      </c>
      <c r="M6" s="11">
        <f>H6*J6*K6*L6</f>
        <v>309.4285714285714</v>
      </c>
      <c r="N6" s="26">
        <v>0.13</v>
      </c>
      <c r="O6" s="32">
        <f>M6*N6</f>
        <v>40.22571428571428</v>
      </c>
      <c r="P6" s="25"/>
      <c r="Q6" s="31"/>
      <c r="R6" s="19">
        <f>(M6+O6+Q6)</f>
        <v>349.65428571428566</v>
      </c>
      <c r="S6" s="44"/>
      <c r="T6" s="46"/>
      <c r="U6" s="48"/>
      <c r="Y6" s="71"/>
      <c r="AE6" s="21"/>
    </row>
    <row r="7" spans="1:31" ht="9.75" customHeight="1">
      <c r="A7" s="24"/>
      <c r="B7" s="10"/>
      <c r="C7" s="12">
        <v>18</v>
      </c>
      <c r="D7" s="10" t="s">
        <v>26</v>
      </c>
      <c r="E7" s="16"/>
      <c r="F7" s="10">
        <v>1.4</v>
      </c>
      <c r="G7" s="10">
        <v>1.8</v>
      </c>
      <c r="H7" s="19">
        <f>F7*G7</f>
        <v>2.52</v>
      </c>
      <c r="I7" s="16">
        <v>-39</v>
      </c>
      <c r="J7" s="11">
        <f>C7-I7</f>
        <v>57</v>
      </c>
      <c r="K7" s="11">
        <f>IF(D7="нс",1,IF(D7="до",1,IF(D7="пт",0.9,IF(D7="дв",1,(C7-I7)/(C7--39)))))</f>
        <v>1</v>
      </c>
      <c r="L7" s="18">
        <f>IF(D7="нс",'Коэф.'!$F$4,IF(D7="вс",'Коэф.'!$F$5,IF(D7="во",'Коэф.'!$F$6,IF(D7="пт",'Коэф.'!$F$7,IF(D7="эп",'Коэф.'!$F$8,IF(D7="пл",'Коэф.'!$F$8,IF(D7="до",'Коэф.'!$F$10,IF(D7="дв",'Коэф.'!$F$11,))))))))</f>
        <v>1.5384615384615383</v>
      </c>
      <c r="M7" s="11">
        <f>H7*J7*K7*L7</f>
        <v>220.98461538461538</v>
      </c>
      <c r="N7" s="26">
        <v>0.13</v>
      </c>
      <c r="O7" s="32">
        <f>M7*N7</f>
        <v>28.728</v>
      </c>
      <c r="P7" s="25"/>
      <c r="Q7" s="31"/>
      <c r="R7" s="19">
        <f>(M7+O7+Q7)</f>
        <v>249.7126153846154</v>
      </c>
      <c r="S7" s="44"/>
      <c r="T7" s="46"/>
      <c r="U7" s="48"/>
      <c r="Y7" s="71"/>
      <c r="AE7" s="21"/>
    </row>
    <row r="8" spans="1:31" ht="9.75" customHeight="1" thickBot="1">
      <c r="A8" s="24"/>
      <c r="B8" s="10"/>
      <c r="C8" s="12">
        <v>18</v>
      </c>
      <c r="D8" s="10" t="s">
        <v>26</v>
      </c>
      <c r="E8" s="16"/>
      <c r="F8" s="10">
        <v>1.9</v>
      </c>
      <c r="G8" s="10">
        <v>2.9</v>
      </c>
      <c r="H8" s="19">
        <f>F8*G8</f>
        <v>5.51</v>
      </c>
      <c r="I8" s="16">
        <v>-39</v>
      </c>
      <c r="J8" s="11">
        <f>C8-I8</f>
        <v>57</v>
      </c>
      <c r="K8" s="11">
        <f>IF(D8="нс",1,IF(D8="до",1,IF(D8="пт",0.9,IF(D8="дв",1,(C8-I8)/(C8--39)))))</f>
        <v>1</v>
      </c>
      <c r="L8" s="18">
        <f>IF(D8="нс",'Коэф.'!$F$4,IF(D8="вс",'Коэф.'!$F$5,IF(D8="во",'Коэф.'!$F$6,IF(D8="пт",'Коэф.'!$F$7,IF(D8="эп",'Коэф.'!$F$8,IF(D8="пл",'Коэф.'!$F$8,IF(D8="до",'Коэф.'!$F$10,IF(D8="дв",'Коэф.'!$F$11,))))))))</f>
        <v>1.5384615384615383</v>
      </c>
      <c r="M8" s="11">
        <f>H8*J8*K8*L8</f>
        <v>483.1846153846153</v>
      </c>
      <c r="N8" s="26">
        <v>0.13</v>
      </c>
      <c r="O8" s="32">
        <f>M8*N8</f>
        <v>62.81399999999999</v>
      </c>
      <c r="P8" s="25"/>
      <c r="Q8" s="31"/>
      <c r="R8" s="19">
        <f>(M8+O8+Q8)</f>
        <v>545.9986153846153</v>
      </c>
      <c r="S8" s="44"/>
      <c r="T8" s="46"/>
      <c r="U8" s="48"/>
      <c r="Y8" s="71"/>
      <c r="AE8" s="21"/>
    </row>
    <row r="9" spans="1:31" ht="9.75" customHeight="1">
      <c r="A9" s="24"/>
      <c r="B9" s="10"/>
      <c r="C9" s="12">
        <v>18</v>
      </c>
      <c r="D9" s="10" t="s">
        <v>28</v>
      </c>
      <c r="E9" s="16"/>
      <c r="F9" s="10">
        <v>4</v>
      </c>
      <c r="G9" s="10">
        <v>4</v>
      </c>
      <c r="H9" s="19">
        <f>F9*G9</f>
        <v>16</v>
      </c>
      <c r="I9" s="16">
        <v>-39</v>
      </c>
      <c r="J9" s="11">
        <f>C9-I9</f>
        <v>57</v>
      </c>
      <c r="K9" s="11">
        <v>1</v>
      </c>
      <c r="L9" s="18">
        <f>IF(D9="нс",'Коэф.'!$F$4,IF(D9="вс",'Коэф.'!$F$5,IF(D9="во",'Коэф.'!$F$6,IF(D9="пт",'Коэф.'!$F$7,IF(D9="эп",'Коэф.'!$F$8,IF(D9="пл",'Коэф.'!$F$8,IF(D9="до",'Коэф.'!$F$10,IF(D9="дв",'Коэф.'!$F$11,))))))))</f>
        <v>0.20920502092050208</v>
      </c>
      <c r="M9" s="11">
        <f>H9*J9*K9*L9</f>
        <v>190.7949790794979</v>
      </c>
      <c r="N9" s="26"/>
      <c r="O9" s="32">
        <f>M9*N9</f>
        <v>0</v>
      </c>
      <c r="P9" s="25"/>
      <c r="Q9" s="31"/>
      <c r="R9" s="19">
        <f>(M9+O9+Q9)</f>
        <v>190.7949790794979</v>
      </c>
      <c r="S9" s="44"/>
      <c r="T9" s="45"/>
      <c r="U9" s="48"/>
      <c r="Y9" s="71"/>
      <c r="AE9" s="21"/>
    </row>
    <row r="10" spans="1:31" ht="11.25" customHeight="1">
      <c r="A10" s="9"/>
      <c r="B10" s="10"/>
      <c r="C10" s="12">
        <v>18</v>
      </c>
      <c r="D10" s="10" t="s">
        <v>40</v>
      </c>
      <c r="E10" s="16"/>
      <c r="F10" s="10">
        <v>4</v>
      </c>
      <c r="G10" s="10">
        <v>4</v>
      </c>
      <c r="H10" s="19">
        <f>F10*G10</f>
        <v>16</v>
      </c>
      <c r="I10" s="16">
        <v>0</v>
      </c>
      <c r="J10" s="11">
        <f>C10-I10</f>
        <v>18</v>
      </c>
      <c r="K10" s="11">
        <v>1</v>
      </c>
      <c r="L10" s="18">
        <f>IF(D10="нс",'Коэф.'!$F$4,IF(D10="вс",'Коэф.'!$F$5,IF(D10="во",'Коэф.'!$F$6,IF(D10="пт",'Коэф.'!$F$7,IF(D10="эп",'Коэф.'!$F$8,IF(D10="пл",'Коэф.'!$F$8,IF(D10="до",'Коэф.'!$F$10,IF(D10="дв",'Коэф.'!$F$11,))))))))</f>
        <v>0.53475935828877</v>
      </c>
      <c r="M10" s="11">
        <f>H10*J10*K10*L10</f>
        <v>154.01069518716577</v>
      </c>
      <c r="N10" s="23"/>
      <c r="O10" s="32">
        <f>M10*N10</f>
        <v>0</v>
      </c>
      <c r="P10" s="25"/>
      <c r="Q10" s="31"/>
      <c r="R10" s="11">
        <f>M10+O10+Q10</f>
        <v>154.01069518716577</v>
      </c>
      <c r="S10" s="44"/>
      <c r="T10" s="46"/>
      <c r="U10" s="48"/>
      <c r="Y10" s="71"/>
      <c r="AE10" s="21"/>
    </row>
    <row r="11" spans="1:31" ht="13.5" thickBot="1">
      <c r="A11" s="13"/>
      <c r="B11" s="14"/>
      <c r="C11" s="14"/>
      <c r="D11" s="14"/>
      <c r="E11" s="14"/>
      <c r="F11" s="14"/>
      <c r="G11" s="14"/>
      <c r="H11" s="20"/>
      <c r="I11" s="14"/>
      <c r="J11" s="14"/>
      <c r="K11" s="14"/>
      <c r="L11" s="14"/>
      <c r="M11" s="14"/>
      <c r="N11" s="14"/>
      <c r="O11" s="20"/>
      <c r="P11" s="33"/>
      <c r="Q11" s="20"/>
      <c r="R11" s="15">
        <f>SUM(R5:R10)</f>
        <v>1783.8807907501798</v>
      </c>
      <c r="S11" s="35"/>
      <c r="T11" s="36"/>
      <c r="U11" s="48"/>
      <c r="Y11" s="38"/>
      <c r="AE11" s="21"/>
    </row>
    <row r="12" spans="1:31" ht="9.75">
      <c r="A12" s="24">
        <v>6</v>
      </c>
      <c r="B12" s="16" t="s">
        <v>49</v>
      </c>
      <c r="C12" s="12">
        <v>20</v>
      </c>
      <c r="D12" s="16" t="s">
        <v>7</v>
      </c>
      <c r="E12" s="16"/>
      <c r="F12" s="16">
        <v>7.2</v>
      </c>
      <c r="G12" s="16">
        <v>3.8</v>
      </c>
      <c r="H12" s="27">
        <f>F12*G12</f>
        <v>27.36</v>
      </c>
      <c r="I12" s="16">
        <v>-39</v>
      </c>
      <c r="J12" s="12">
        <f>C12-I12</f>
        <v>59</v>
      </c>
      <c r="K12" s="11">
        <f>IF(D12="нс",1,IF(D12="до",1,IF(D12="пт",0.9,IF(D12="дв",1,(C12-I12)/(C12--39)))))</f>
        <v>1</v>
      </c>
      <c r="L12" s="18">
        <f>IF(D12="нс",'Коэф.'!$F$4,IF(D12="вс",'Коэф.'!$F$5,IF(D12="во",'Коэф.'!$F$6,IF(D12="пт",'Коэф.'!$F$7,IF(D12="эп",'Коэф.'!$F$8,IF(D12="пл",'Коэф.'!$F$8,IF(D12="до",'Коэф.'!$F$10,IF(D12="дв",'Коэф.'!$F$11,))))))))</f>
        <v>0.2857142857142857</v>
      </c>
      <c r="M12" s="12">
        <f>H12*J12*K12*L12</f>
        <v>461.21142857142854</v>
      </c>
      <c r="N12" s="26">
        <v>0.13</v>
      </c>
      <c r="O12" s="34">
        <f>M12*N12</f>
        <v>59.95748571428571</v>
      </c>
      <c r="P12" s="25"/>
      <c r="Q12" s="31"/>
      <c r="R12" s="12">
        <f>M12+O12+Q12</f>
        <v>521.1689142857142</v>
      </c>
      <c r="S12" s="43">
        <f>Y12*3*J12*0.3976-10*Y12</f>
        <v>1666.3555200000003</v>
      </c>
      <c r="T12" s="45">
        <f>ROUND((R18+S12),-1)</f>
        <v>4700</v>
      </c>
      <c r="U12" s="48"/>
      <c r="Y12" s="70">
        <v>27.6</v>
      </c>
      <c r="AE12" s="21"/>
    </row>
    <row r="13" spans="1:31" ht="9.75" customHeight="1">
      <c r="A13" s="24"/>
      <c r="B13" s="10"/>
      <c r="C13" s="12">
        <v>20</v>
      </c>
      <c r="D13" s="10" t="s">
        <v>7</v>
      </c>
      <c r="E13" s="16"/>
      <c r="F13" s="10">
        <v>5.2</v>
      </c>
      <c r="G13" s="10">
        <v>3.8</v>
      </c>
      <c r="H13" s="19">
        <f>F13*G13</f>
        <v>19.759999999999998</v>
      </c>
      <c r="I13" s="16">
        <v>-39</v>
      </c>
      <c r="J13" s="11">
        <f>C13-I13</f>
        <v>59</v>
      </c>
      <c r="K13" s="11">
        <f>IF(D13="нс",1,IF(D13="до",1,IF(D13="пт",0.9,IF(D13="дв",1,(C13-I13)/(C13--39)))))</f>
        <v>1</v>
      </c>
      <c r="L13" s="18">
        <f>IF(D13="нс",'Коэф.'!$F$4,IF(D13="вс",'Коэф.'!$F$5,IF(D13="во",'Коэф.'!$F$6,IF(D13="пт",'Коэф.'!$F$7,IF(D13="эп",'Коэф.'!$F$8,IF(D13="пл",'Коэф.'!$F$8,IF(D13="до",'Коэф.'!$F$10,IF(D13="дв",'Коэф.'!$F$11,))))))))</f>
        <v>0.2857142857142857</v>
      </c>
      <c r="M13" s="11">
        <f>H13*J13*K13*L13</f>
        <v>333.09714285714284</v>
      </c>
      <c r="N13" s="26">
        <v>0.13</v>
      </c>
      <c r="O13" s="32">
        <f>M13*N13</f>
        <v>43.30262857142857</v>
      </c>
      <c r="P13" s="25"/>
      <c r="Q13" s="31"/>
      <c r="R13" s="19">
        <f>(M13+O13+Q13)</f>
        <v>376.3997714285714</v>
      </c>
      <c r="S13" s="44"/>
      <c r="T13" s="46"/>
      <c r="U13" s="48"/>
      <c r="Y13" s="71"/>
      <c r="AE13" s="21"/>
    </row>
    <row r="14" spans="1:31" ht="9.75" customHeight="1">
      <c r="A14" s="24"/>
      <c r="B14" s="10"/>
      <c r="C14" s="12">
        <v>20</v>
      </c>
      <c r="D14" s="10" t="s">
        <v>26</v>
      </c>
      <c r="E14" s="16"/>
      <c r="F14" s="10">
        <v>2.8</v>
      </c>
      <c r="G14" s="10">
        <v>2.6</v>
      </c>
      <c r="H14" s="19">
        <f>F14*G14</f>
        <v>7.279999999999999</v>
      </c>
      <c r="I14" s="16">
        <v>-39</v>
      </c>
      <c r="J14" s="11">
        <f>C14-I14</f>
        <v>59</v>
      </c>
      <c r="K14" s="11">
        <f>IF(D14="нс",1,IF(D14="до",1,IF(D14="пт",0.9,IF(D14="дв",1,(C14-I14)/(C14--39)))))</f>
        <v>1</v>
      </c>
      <c r="L14" s="18">
        <f>IF(D14="нс",'Коэф.'!$F$4,IF(D14="вс",'Коэф.'!$F$5,IF(D14="во",'Коэф.'!$F$6,IF(D14="пт",'Коэф.'!$F$7,IF(D14="эп",'Коэф.'!$F$8,IF(D14="пл",'Коэф.'!$F$8,IF(D14="до",'Коэф.'!$F$10,IF(D14="дв",'Коэф.'!$F$11,))))))))</f>
        <v>1.5384615384615383</v>
      </c>
      <c r="M14" s="11">
        <f>H14*J14*K14*L14</f>
        <v>660.8</v>
      </c>
      <c r="N14" s="26">
        <v>0.13</v>
      </c>
      <c r="O14" s="32">
        <f>M14*N14</f>
        <v>85.904</v>
      </c>
      <c r="P14" s="25"/>
      <c r="Q14" s="31"/>
      <c r="R14" s="19">
        <f>(M14+O14+Q14)</f>
        <v>746.704</v>
      </c>
      <c r="S14" s="44"/>
      <c r="T14" s="46"/>
      <c r="U14" s="48"/>
      <c r="Y14" s="71"/>
      <c r="AE14" s="21"/>
    </row>
    <row r="15" spans="1:31" ht="9.75" customHeight="1" thickBot="1">
      <c r="A15" s="24"/>
      <c r="B15" s="10"/>
      <c r="C15" s="12">
        <v>20</v>
      </c>
      <c r="D15" s="10" t="s">
        <v>26</v>
      </c>
      <c r="E15" s="16"/>
      <c r="F15" s="10">
        <v>2.8</v>
      </c>
      <c r="G15" s="10">
        <v>2.6</v>
      </c>
      <c r="H15" s="19">
        <f>F15*G15</f>
        <v>7.279999999999999</v>
      </c>
      <c r="I15" s="16">
        <v>-39</v>
      </c>
      <c r="J15" s="11">
        <f>C15-I15</f>
        <v>59</v>
      </c>
      <c r="K15" s="11">
        <f>IF(D15="нс",1,IF(D15="до",1,IF(D15="пт",0.9,IF(D15="дв",1,(C15-I15)/(C15--39)))))</f>
        <v>1</v>
      </c>
      <c r="L15" s="18">
        <f>IF(D15="нс",'Коэф.'!$F$4,IF(D15="вс",'Коэф.'!$F$5,IF(D15="во",'Коэф.'!$F$6,IF(D15="пт",'Коэф.'!$F$7,IF(D15="эп",'Коэф.'!$F$8,IF(D15="пл",'Коэф.'!$F$8,IF(D15="до",'Коэф.'!$F$10,IF(D15="дв",'Коэф.'!$F$11,))))))))</f>
        <v>1.5384615384615383</v>
      </c>
      <c r="M15" s="11">
        <f>H15*J15*K15*L15</f>
        <v>660.8</v>
      </c>
      <c r="N15" s="26">
        <v>0.13</v>
      </c>
      <c r="O15" s="32">
        <f>M15*N15</f>
        <v>85.904</v>
      </c>
      <c r="P15" s="25"/>
      <c r="Q15" s="31"/>
      <c r="R15" s="19">
        <f>(M15+O15+Q15)</f>
        <v>746.704</v>
      </c>
      <c r="S15" s="44"/>
      <c r="T15" s="46"/>
      <c r="U15" s="48"/>
      <c r="Y15" s="71"/>
      <c r="AE15" s="21"/>
    </row>
    <row r="16" spans="1:31" ht="9.75" customHeight="1">
      <c r="A16" s="24"/>
      <c r="B16" s="10"/>
      <c r="C16" s="12">
        <v>20</v>
      </c>
      <c r="D16" s="10" t="s">
        <v>28</v>
      </c>
      <c r="E16" s="16"/>
      <c r="F16" s="10">
        <v>5.3</v>
      </c>
      <c r="G16" s="10">
        <v>5.3</v>
      </c>
      <c r="H16" s="19">
        <f>F16*G16</f>
        <v>28.09</v>
      </c>
      <c r="I16" s="16">
        <v>-39</v>
      </c>
      <c r="J16" s="11">
        <f>C16-I16</f>
        <v>59</v>
      </c>
      <c r="K16" s="11">
        <v>1</v>
      </c>
      <c r="L16" s="18">
        <f>IF(D16="нс",'Коэф.'!$F$4,IF(D16="вс",'Коэф.'!$F$5,IF(D16="во",'Коэф.'!$F$6,IF(D16="пт",'Коэф.'!$F$7,IF(D16="эп",'Коэф.'!$F$8,IF(D16="пл",'Коэф.'!$F$8,IF(D16="до",'Коэф.'!$F$10,IF(D16="дв",'Коэф.'!$F$11,))))))))</f>
        <v>0.20920502092050208</v>
      </c>
      <c r="M16" s="11">
        <f>H16*J16*K16*L16</f>
        <v>346.7175732217573</v>
      </c>
      <c r="N16" s="26"/>
      <c r="O16" s="32">
        <f>M16*N16</f>
        <v>0</v>
      </c>
      <c r="P16" s="25"/>
      <c r="Q16" s="31"/>
      <c r="R16" s="19">
        <f>(M16+O16+Q16)</f>
        <v>346.7175732217573</v>
      </c>
      <c r="S16" s="44"/>
      <c r="T16" s="45"/>
      <c r="U16" s="48"/>
      <c r="Y16" s="71"/>
      <c r="AE16" s="21"/>
    </row>
    <row r="17" spans="1:31" ht="11.25" customHeight="1">
      <c r="A17" s="9"/>
      <c r="B17" s="10"/>
      <c r="C17" s="12">
        <v>20</v>
      </c>
      <c r="D17" s="10" t="s">
        <v>40</v>
      </c>
      <c r="E17" s="16"/>
      <c r="F17" s="10">
        <v>5.3</v>
      </c>
      <c r="G17" s="10">
        <v>5.3</v>
      </c>
      <c r="H17" s="19">
        <f>F17*G17</f>
        <v>28.09</v>
      </c>
      <c r="I17" s="16">
        <v>0</v>
      </c>
      <c r="J17" s="11">
        <f>C17-I17</f>
        <v>20</v>
      </c>
      <c r="K17" s="11">
        <v>1</v>
      </c>
      <c r="L17" s="18">
        <f>IF(D17="нс",'Коэф.'!$F$4,IF(D17="вс",'Коэф.'!$F$5,IF(D17="во",'Коэф.'!$F$6,IF(D17="пт",'Коэф.'!$F$7,IF(D17="эп",'Коэф.'!$F$8,IF(D17="пл",'Коэф.'!$F$8,IF(D17="до",'Коэф.'!$F$10,IF(D17="дв",'Коэф.'!$F$11,))))))))</f>
        <v>0.53475935828877</v>
      </c>
      <c r="M17" s="11">
        <f>H17*J17*K17*L17</f>
        <v>300.42780748663097</v>
      </c>
      <c r="N17" s="23"/>
      <c r="O17" s="32">
        <f>M17*N17</f>
        <v>0</v>
      </c>
      <c r="P17" s="25"/>
      <c r="Q17" s="31"/>
      <c r="R17" s="11">
        <f>M17+O17+Q17</f>
        <v>300.42780748663097</v>
      </c>
      <c r="S17" s="44"/>
      <c r="T17" s="46"/>
      <c r="U17" s="48"/>
      <c r="Y17" s="71"/>
      <c r="AE17" s="21"/>
    </row>
    <row r="18" spans="1:31" ht="13.5" thickBot="1">
      <c r="A18" s="13"/>
      <c r="B18" s="14"/>
      <c r="C18" s="14"/>
      <c r="D18" s="14"/>
      <c r="E18" s="14"/>
      <c r="F18" s="14"/>
      <c r="G18" s="14"/>
      <c r="H18" s="20"/>
      <c r="I18" s="14"/>
      <c r="J18" s="14"/>
      <c r="K18" s="14"/>
      <c r="L18" s="14"/>
      <c r="M18" s="14"/>
      <c r="N18" s="14"/>
      <c r="O18" s="20"/>
      <c r="P18" s="33"/>
      <c r="Q18" s="20"/>
      <c r="R18" s="15">
        <f>SUM(R12:R17)</f>
        <v>3038.1220664226744</v>
      </c>
      <c r="S18" s="35"/>
      <c r="T18" s="36"/>
      <c r="U18" s="48"/>
      <c r="Y18" s="38"/>
      <c r="AE18" s="21"/>
    </row>
    <row r="19" spans="1:31" ht="9.75">
      <c r="A19" s="24">
        <v>9</v>
      </c>
      <c r="B19" s="16" t="s">
        <v>43</v>
      </c>
      <c r="C19" s="12">
        <v>20</v>
      </c>
      <c r="D19" s="16" t="s">
        <v>7</v>
      </c>
      <c r="E19" s="16"/>
      <c r="F19" s="16">
        <v>5.6</v>
      </c>
      <c r="G19" s="16">
        <v>3.8</v>
      </c>
      <c r="H19" s="27">
        <f>F19*G19</f>
        <v>21.279999999999998</v>
      </c>
      <c r="I19" s="16">
        <v>-39</v>
      </c>
      <c r="J19" s="12">
        <f>C19-I19</f>
        <v>59</v>
      </c>
      <c r="K19" s="11">
        <f>IF(D19="нс",1,IF(D19="до",1,IF(D19="пт",0.9,IF(D19="дв",1,(C19-I19)/(C19--39)))))</f>
        <v>1</v>
      </c>
      <c r="L19" s="18">
        <f>IF(D19="нс",'Коэф.'!$F$4,IF(D19="вс",'Коэф.'!$F$5,IF(D19="во",'Коэф.'!$F$6,IF(D19="пт",'Коэф.'!$F$7,IF(D19="эп",'Коэф.'!$F$8,IF(D19="пл",'Коэф.'!$F$8,IF(D19="до",'Коэф.'!$F$10,IF(D19="дв",'Коэф.'!$F$11,))))))))</f>
        <v>0.2857142857142857</v>
      </c>
      <c r="M19" s="12">
        <f>H19*J19*K19*L19</f>
        <v>358.7199999999999</v>
      </c>
      <c r="N19" s="26">
        <v>0.13</v>
      </c>
      <c r="O19" s="34">
        <f>M19*N19</f>
        <v>46.63359999999999</v>
      </c>
      <c r="P19" s="25"/>
      <c r="Q19" s="31"/>
      <c r="R19" s="12">
        <f>M19+O19+Q19</f>
        <v>405.3535999999999</v>
      </c>
      <c r="S19" s="43">
        <f>Y19*3*J19*0.3976-10*Y19</f>
        <v>1217.1640320000001</v>
      </c>
      <c r="T19" s="45">
        <f>ROUND((R25+S19),-1)</f>
        <v>3940</v>
      </c>
      <c r="U19" s="48"/>
      <c r="Y19" s="70">
        <v>20.16</v>
      </c>
      <c r="AE19" s="21"/>
    </row>
    <row r="20" spans="1:31" ht="9.75" customHeight="1">
      <c r="A20" s="24"/>
      <c r="B20" s="10"/>
      <c r="C20" s="12">
        <v>20</v>
      </c>
      <c r="D20" s="10" t="s">
        <v>7</v>
      </c>
      <c r="E20" s="16"/>
      <c r="F20" s="10">
        <v>4.9</v>
      </c>
      <c r="G20" s="10">
        <v>3.8</v>
      </c>
      <c r="H20" s="19">
        <f>F20*G20</f>
        <v>18.62</v>
      </c>
      <c r="I20" s="16">
        <v>-39</v>
      </c>
      <c r="J20" s="11">
        <f>C20-I20</f>
        <v>59</v>
      </c>
      <c r="K20" s="11">
        <f>IF(D20="нс",1,IF(D20="до",1,IF(D20="пт",0.9,IF(D20="дв",1,(C20-I20)/(C20--39)))))</f>
        <v>1</v>
      </c>
      <c r="L20" s="18">
        <f>IF(D20="нс",'Коэф.'!$F$4,IF(D20="вс",'Коэф.'!$F$5,IF(D20="во",'Коэф.'!$F$6,IF(D20="пт",'Коэф.'!$F$7,IF(D20="эп",'Коэф.'!$F$8,IF(D20="пл",'Коэф.'!$F$8,IF(D20="до",'Коэф.'!$F$10,IF(D20="дв",'Коэф.'!$F$11,))))))))</f>
        <v>0.2857142857142857</v>
      </c>
      <c r="M20" s="11">
        <f>H20*J20*K20*L20</f>
        <v>313.88000000000005</v>
      </c>
      <c r="N20" s="26">
        <v>0.13</v>
      </c>
      <c r="O20" s="32">
        <f>M20*N20</f>
        <v>40.80440000000001</v>
      </c>
      <c r="P20" s="25"/>
      <c r="Q20" s="31"/>
      <c r="R20" s="19">
        <f>(M20+O20+Q20)</f>
        <v>354.68440000000004</v>
      </c>
      <c r="S20" s="44"/>
      <c r="T20" s="46"/>
      <c r="U20" s="48"/>
      <c r="Y20" s="71"/>
      <c r="AE20" s="21"/>
    </row>
    <row r="21" spans="1:31" ht="9.75" customHeight="1">
      <c r="A21" s="24"/>
      <c r="B21" s="10"/>
      <c r="C21" s="12">
        <v>20</v>
      </c>
      <c r="D21" s="10" t="s">
        <v>26</v>
      </c>
      <c r="E21" s="16"/>
      <c r="F21" s="10">
        <v>2.8</v>
      </c>
      <c r="G21" s="10">
        <v>2.6</v>
      </c>
      <c r="H21" s="19">
        <f>F21*G21</f>
        <v>7.279999999999999</v>
      </c>
      <c r="I21" s="16">
        <v>-39</v>
      </c>
      <c r="J21" s="11">
        <f>C21-I21</f>
        <v>59</v>
      </c>
      <c r="K21" s="11">
        <f>IF(D21="нс",1,IF(D21="до",1,IF(D21="пт",0.9,IF(D21="дв",1,(C21-I21)/(C21--39)))))</f>
        <v>1</v>
      </c>
      <c r="L21" s="18">
        <f>IF(D21="нс",'Коэф.'!$F$4,IF(D21="вс",'Коэф.'!$F$5,IF(D21="во",'Коэф.'!$F$6,IF(D21="пт",'Коэф.'!$F$7,IF(D21="эп",'Коэф.'!$F$8,IF(D21="пл",'Коэф.'!$F$8,IF(D21="до",'Коэф.'!$F$10,IF(D21="дв",'Коэф.'!$F$11,))))))))</f>
        <v>1.5384615384615383</v>
      </c>
      <c r="M21" s="11">
        <f>H21*J21*K21*L21</f>
        <v>660.8</v>
      </c>
      <c r="N21" s="26">
        <v>0.13</v>
      </c>
      <c r="O21" s="32">
        <f>M21*N21</f>
        <v>85.904</v>
      </c>
      <c r="P21" s="25"/>
      <c r="Q21" s="31"/>
      <c r="R21" s="19">
        <f>(M21+O21+Q21)</f>
        <v>746.704</v>
      </c>
      <c r="S21" s="44"/>
      <c r="T21" s="46"/>
      <c r="U21" s="48"/>
      <c r="Y21" s="71"/>
      <c r="AE21" s="21"/>
    </row>
    <row r="22" spans="1:31" ht="9.75" customHeight="1" thickBot="1">
      <c r="A22" s="24"/>
      <c r="B22" s="10"/>
      <c r="C22" s="12">
        <v>20</v>
      </c>
      <c r="D22" s="10" t="s">
        <v>26</v>
      </c>
      <c r="E22" s="16"/>
      <c r="F22" s="10">
        <v>2.8</v>
      </c>
      <c r="G22" s="10">
        <v>2.6</v>
      </c>
      <c r="H22" s="19">
        <f>F22*G22</f>
        <v>7.279999999999999</v>
      </c>
      <c r="I22" s="16">
        <v>-39</v>
      </c>
      <c r="J22" s="11">
        <f>C22-I22</f>
        <v>59</v>
      </c>
      <c r="K22" s="11">
        <f>IF(D22="нс",1,IF(D22="до",1,IF(D22="пт",0.9,IF(D22="дв",1,(C22-I22)/(C22--39)))))</f>
        <v>1</v>
      </c>
      <c r="L22" s="18">
        <f>IF(D22="нс",'Коэф.'!$F$4,IF(D22="вс",'Коэф.'!$F$5,IF(D22="во",'Коэф.'!$F$6,IF(D22="пт",'Коэф.'!$F$7,IF(D22="эп",'Коэф.'!$F$8,IF(D22="пл",'Коэф.'!$F$8,IF(D22="до",'Коэф.'!$F$10,IF(D22="дв",'Коэф.'!$F$11,))))))))</f>
        <v>1.5384615384615383</v>
      </c>
      <c r="M22" s="11">
        <f>H22*J22*K22*L22</f>
        <v>660.8</v>
      </c>
      <c r="N22" s="26">
        <v>0.13</v>
      </c>
      <c r="O22" s="32">
        <f>M22*N22</f>
        <v>85.904</v>
      </c>
      <c r="P22" s="25"/>
      <c r="Q22" s="31"/>
      <c r="R22" s="19">
        <f>(M22+O22+Q22)</f>
        <v>746.704</v>
      </c>
      <c r="S22" s="44"/>
      <c r="T22" s="46"/>
      <c r="U22" s="48"/>
      <c r="Y22" s="71"/>
      <c r="AE22" s="21"/>
    </row>
    <row r="23" spans="1:31" ht="9.75" customHeight="1">
      <c r="A23" s="24"/>
      <c r="B23" s="10"/>
      <c r="C23" s="12">
        <v>20</v>
      </c>
      <c r="D23" s="10" t="s">
        <v>28</v>
      </c>
      <c r="E23" s="16"/>
      <c r="F23" s="10">
        <v>4.5</v>
      </c>
      <c r="G23" s="10">
        <v>4.5</v>
      </c>
      <c r="H23" s="19">
        <f>F23*G23</f>
        <v>20.25</v>
      </c>
      <c r="I23" s="16">
        <v>-39</v>
      </c>
      <c r="J23" s="11">
        <f>C23-I23</f>
        <v>59</v>
      </c>
      <c r="K23" s="11">
        <v>1</v>
      </c>
      <c r="L23" s="18">
        <f>IF(D23="нс",'Коэф.'!$F$4,IF(D23="вс",'Коэф.'!$F$5,IF(D23="во",'Коэф.'!$F$6,IF(D23="пт",'Коэф.'!$F$7,IF(D23="эп",'Коэф.'!$F$8,IF(D23="пл",'Коэф.'!$F$8,IF(D23="до",'Коэф.'!$F$10,IF(D23="дв",'Коэф.'!$F$11,))))))))</f>
        <v>0.20920502092050208</v>
      </c>
      <c r="M23" s="11">
        <f>H23*J23*K23*L23</f>
        <v>249.94769874476987</v>
      </c>
      <c r="N23" s="26"/>
      <c r="O23" s="32">
        <f>M23*N23</f>
        <v>0</v>
      </c>
      <c r="P23" s="25"/>
      <c r="Q23" s="31"/>
      <c r="R23" s="19">
        <f>(M23+O23+Q23)</f>
        <v>249.94769874476987</v>
      </c>
      <c r="S23" s="44"/>
      <c r="T23" s="45"/>
      <c r="U23" s="48"/>
      <c r="Y23" s="71"/>
      <c r="AE23" s="21"/>
    </row>
    <row r="24" spans="1:31" ht="11.25" customHeight="1">
      <c r="A24" s="9"/>
      <c r="B24" s="10"/>
      <c r="C24" s="12">
        <v>20</v>
      </c>
      <c r="D24" s="10" t="s">
        <v>40</v>
      </c>
      <c r="E24" s="16"/>
      <c r="F24" s="10">
        <v>4.5</v>
      </c>
      <c r="G24" s="10">
        <v>4.5</v>
      </c>
      <c r="H24" s="19">
        <f>F24*G24</f>
        <v>20.25</v>
      </c>
      <c r="I24" s="16">
        <v>0</v>
      </c>
      <c r="J24" s="11">
        <f>C24-I24</f>
        <v>20</v>
      </c>
      <c r="K24" s="11">
        <v>1</v>
      </c>
      <c r="L24" s="18">
        <f>IF(D24="нс",'Коэф.'!$F$4,IF(D24="вс",'Коэф.'!$F$5,IF(D24="во",'Коэф.'!$F$6,IF(D24="пт",'Коэф.'!$F$7,IF(D24="эп",'Коэф.'!$F$8,IF(D24="пл",'Коэф.'!$F$8,IF(D24="до",'Коэф.'!$F$10,IF(D24="дв",'Коэф.'!$F$11,))))))))</f>
        <v>0.53475935828877</v>
      </c>
      <c r="M24" s="11">
        <f>H24*J24*K24*L24</f>
        <v>216.57754010695183</v>
      </c>
      <c r="N24" s="23"/>
      <c r="O24" s="32">
        <f>M24*N24</f>
        <v>0</v>
      </c>
      <c r="P24" s="25"/>
      <c r="Q24" s="31"/>
      <c r="R24" s="11">
        <f>M24+O24+Q24</f>
        <v>216.57754010695183</v>
      </c>
      <c r="S24" s="44"/>
      <c r="T24" s="46"/>
      <c r="U24" s="48"/>
      <c r="Y24" s="71"/>
      <c r="AE24" s="21"/>
    </row>
    <row r="25" spans="1:31" ht="13.5" thickBot="1">
      <c r="A25" s="13"/>
      <c r="B25" s="14"/>
      <c r="C25" s="14"/>
      <c r="D25" s="14"/>
      <c r="E25" s="14"/>
      <c r="F25" s="14"/>
      <c r="G25" s="14"/>
      <c r="H25" s="20"/>
      <c r="I25" s="14"/>
      <c r="J25" s="14"/>
      <c r="K25" s="14"/>
      <c r="L25" s="14"/>
      <c r="M25" s="14"/>
      <c r="N25" s="14"/>
      <c r="O25" s="20"/>
      <c r="P25" s="33"/>
      <c r="Q25" s="20"/>
      <c r="R25" s="15">
        <f>SUM(R19:R24)</f>
        <v>2719.9712388517214</v>
      </c>
      <c r="S25" s="35"/>
      <c r="T25" s="36"/>
      <c r="U25" s="48"/>
      <c r="Y25" s="38"/>
      <c r="AE25" s="21"/>
    </row>
    <row r="26" spans="1:31" ht="9.75">
      <c r="A26" s="24">
        <v>8</v>
      </c>
      <c r="B26" s="16" t="s">
        <v>43</v>
      </c>
      <c r="C26" s="12">
        <v>20</v>
      </c>
      <c r="D26" s="16" t="s">
        <v>7</v>
      </c>
      <c r="E26" s="16"/>
      <c r="F26" s="16">
        <v>5.8</v>
      </c>
      <c r="G26" s="16">
        <v>3.8</v>
      </c>
      <c r="H26" s="27">
        <f>F26*G26</f>
        <v>22.04</v>
      </c>
      <c r="I26" s="16">
        <v>-39</v>
      </c>
      <c r="J26" s="12">
        <f>C26-I26</f>
        <v>59</v>
      </c>
      <c r="K26" s="11">
        <f>IF(D26="нс",1,IF(D26="до",1,IF(D26="пт",0.9,IF(D26="дв",1,(C26-I26)/(C26--39)))))</f>
        <v>1</v>
      </c>
      <c r="L26" s="18">
        <f>IF(D26="нс",'Коэф.'!$F$4,IF(D26="вс",'Коэф.'!$F$5,IF(D26="во",'Коэф.'!$F$6,IF(D26="пт",'Коэф.'!$F$7,IF(D26="эп",'Коэф.'!$F$8,IF(D26="пл",'Коэф.'!$F$8,IF(D26="до",'Коэф.'!$F$10,IF(D26="дв",'Коэф.'!$F$11,))))))))</f>
        <v>0.2857142857142857</v>
      </c>
      <c r="M26" s="12">
        <f>H26*J26*K26*L26</f>
        <v>371.53142857142853</v>
      </c>
      <c r="N26" s="26">
        <v>0.13</v>
      </c>
      <c r="O26" s="34">
        <f>M26*N26</f>
        <v>48.29908571428571</v>
      </c>
      <c r="P26" s="25"/>
      <c r="Q26" s="31"/>
      <c r="R26" s="12">
        <f>M26+O26+Q26</f>
        <v>419.83051428571423</v>
      </c>
      <c r="S26" s="43">
        <f>Y26*3*J26*0.3976-10*Y26</f>
        <v>1323.4243840000001</v>
      </c>
      <c r="T26" s="45">
        <f>ROUND((R32+S26),-1)</f>
        <v>3110</v>
      </c>
      <c r="U26" s="48"/>
      <c r="Y26" s="70">
        <v>21.92</v>
      </c>
      <c r="AE26" s="21"/>
    </row>
    <row r="27" spans="1:31" ht="9.75" customHeight="1">
      <c r="A27" s="24"/>
      <c r="B27" s="10"/>
      <c r="C27" s="12">
        <v>20</v>
      </c>
      <c r="D27" s="10" t="s">
        <v>7</v>
      </c>
      <c r="E27" s="16"/>
      <c r="F27" s="10">
        <v>4.7</v>
      </c>
      <c r="G27" s="10">
        <v>3.8</v>
      </c>
      <c r="H27" s="19">
        <f>F27*G27</f>
        <v>17.86</v>
      </c>
      <c r="I27" s="16">
        <v>-39</v>
      </c>
      <c r="J27" s="11">
        <f>C27-I27</f>
        <v>59</v>
      </c>
      <c r="K27" s="11">
        <f>IF(D27="нс",1,IF(D27="до",1,IF(D27="пт",0.9,IF(D27="дв",1,(C27-I27)/(C27--39)))))</f>
        <v>1</v>
      </c>
      <c r="L27" s="18">
        <f>IF(D27="нс",'Коэф.'!$F$4,IF(D27="вс",'Коэф.'!$F$5,IF(D27="во",'Коэф.'!$F$6,IF(D27="пт",'Коэф.'!$F$7,IF(D27="эп",'Коэф.'!$F$8,IF(D27="пл",'Коэф.'!$F$8,IF(D27="до",'Коэф.'!$F$10,IF(D27="дв",'Коэф.'!$F$11,))))))))</f>
        <v>0.2857142857142857</v>
      </c>
      <c r="M27" s="11">
        <f>H27*J27*K27*L27</f>
        <v>301.06857142857143</v>
      </c>
      <c r="N27" s="26">
        <v>0.13</v>
      </c>
      <c r="O27" s="32">
        <f>M27*N27</f>
        <v>39.138914285714286</v>
      </c>
      <c r="P27" s="25"/>
      <c r="Q27" s="31"/>
      <c r="R27" s="19">
        <f>(M27+O27+Q27)</f>
        <v>340.2074857142857</v>
      </c>
      <c r="S27" s="44"/>
      <c r="T27" s="46"/>
      <c r="U27" s="48"/>
      <c r="Y27" s="71"/>
      <c r="AE27" s="21"/>
    </row>
    <row r="28" spans="1:31" ht="9.75" customHeight="1">
      <c r="A28" s="24"/>
      <c r="B28" s="10"/>
      <c r="C28" s="12">
        <v>20</v>
      </c>
      <c r="D28" s="10" t="s">
        <v>26</v>
      </c>
      <c r="E28" s="16"/>
      <c r="F28" s="10">
        <v>1.4</v>
      </c>
      <c r="G28" s="10">
        <v>1.8</v>
      </c>
      <c r="H28" s="19">
        <f>F28*G28</f>
        <v>2.52</v>
      </c>
      <c r="I28" s="16">
        <v>-39</v>
      </c>
      <c r="J28" s="11">
        <f>C28-I28</f>
        <v>59</v>
      </c>
      <c r="K28" s="11">
        <f>IF(D28="нс",1,IF(D28="до",1,IF(D28="пт",0.9,IF(D28="дв",1,(C28-I28)/(C28--39)))))</f>
        <v>1</v>
      </c>
      <c r="L28" s="18">
        <f>IF(D28="нс",'Коэф.'!$F$4,IF(D28="вс",'Коэф.'!$F$5,IF(D28="во",'Коэф.'!$F$6,IF(D28="пт",'Коэф.'!$F$7,IF(D28="эп",'Коэф.'!$F$8,IF(D28="пл",'Коэф.'!$F$8,IF(D28="до",'Коэф.'!$F$10,IF(D28="дв",'Коэф.'!$F$11,))))))))</f>
        <v>1.5384615384615383</v>
      </c>
      <c r="M28" s="11">
        <f>H28*J28*K28*L28</f>
        <v>228.73846153846154</v>
      </c>
      <c r="N28" s="26">
        <v>0.13</v>
      </c>
      <c r="O28" s="32">
        <f>M28*N28</f>
        <v>29.736</v>
      </c>
      <c r="P28" s="25"/>
      <c r="Q28" s="31"/>
      <c r="R28" s="19">
        <f>(M28+O28+Q28)</f>
        <v>258.4744615384615</v>
      </c>
      <c r="S28" s="44"/>
      <c r="T28" s="46"/>
      <c r="U28" s="48"/>
      <c r="Y28" s="71"/>
      <c r="AE28" s="21"/>
    </row>
    <row r="29" spans="1:31" ht="9.75" customHeight="1" thickBot="1">
      <c r="A29" s="24"/>
      <c r="B29" s="10"/>
      <c r="C29" s="12">
        <v>20</v>
      </c>
      <c r="D29" s="10" t="s">
        <v>26</v>
      </c>
      <c r="E29" s="16"/>
      <c r="F29" s="10">
        <v>1.4</v>
      </c>
      <c r="G29" s="10">
        <v>1.8</v>
      </c>
      <c r="H29" s="19">
        <f>F29*G29</f>
        <v>2.52</v>
      </c>
      <c r="I29" s="16">
        <v>-39</v>
      </c>
      <c r="J29" s="11">
        <f>C29-I29</f>
        <v>59</v>
      </c>
      <c r="K29" s="11">
        <f>IF(D29="нс",1,IF(D29="до",1,IF(D29="пт",0.9,IF(D29="дв",1,(C29-I29)/(C29--39)))))</f>
        <v>1</v>
      </c>
      <c r="L29" s="18">
        <f>IF(D29="нс",'Коэф.'!$F$4,IF(D29="вс",'Коэф.'!$F$5,IF(D29="во",'Коэф.'!$F$6,IF(D29="пт",'Коэф.'!$F$7,IF(D29="эп",'Коэф.'!$F$8,IF(D29="пл",'Коэф.'!$F$8,IF(D29="до",'Коэф.'!$F$10,IF(D29="дв",'Коэф.'!$F$11,))))))))</f>
        <v>1.5384615384615383</v>
      </c>
      <c r="M29" s="11">
        <f>H29*J29*K29*L29</f>
        <v>228.73846153846154</v>
      </c>
      <c r="N29" s="26">
        <v>0.13</v>
      </c>
      <c r="O29" s="32">
        <f>M29*N29</f>
        <v>29.736</v>
      </c>
      <c r="P29" s="25"/>
      <c r="Q29" s="31"/>
      <c r="R29" s="19">
        <f>(M29+O29+Q29)</f>
        <v>258.4744615384615</v>
      </c>
      <c r="S29" s="44"/>
      <c r="T29" s="46"/>
      <c r="U29" s="48"/>
      <c r="Y29" s="71"/>
      <c r="AE29" s="21"/>
    </row>
    <row r="30" spans="1:31" ht="9.75" customHeight="1">
      <c r="A30" s="24"/>
      <c r="B30" s="10"/>
      <c r="C30" s="12">
        <v>20</v>
      </c>
      <c r="D30" s="10" t="s">
        <v>28</v>
      </c>
      <c r="E30" s="16"/>
      <c r="F30" s="10">
        <v>4.7</v>
      </c>
      <c r="G30" s="10">
        <v>4.7</v>
      </c>
      <c r="H30" s="19">
        <f>F30*G30</f>
        <v>22.090000000000003</v>
      </c>
      <c r="I30" s="16">
        <v>-39</v>
      </c>
      <c r="J30" s="11">
        <f>C30-I30</f>
        <v>59</v>
      </c>
      <c r="K30" s="11">
        <v>1</v>
      </c>
      <c r="L30" s="18">
        <f>IF(D30="нс",'Коэф.'!$F$4,IF(D30="вс",'Коэф.'!$F$5,IF(D30="во",'Коэф.'!$F$6,IF(D30="пт",'Коэф.'!$F$7,IF(D30="эп",'Коэф.'!$F$8,IF(D30="пл",'Коэф.'!$F$8,IF(D30="до",'Коэф.'!$F$10,IF(D30="дв",'Коэф.'!$F$11,))))))))</f>
        <v>0.20920502092050208</v>
      </c>
      <c r="M30" s="11">
        <f>H30*J30*K30*L30</f>
        <v>272.65899581589963</v>
      </c>
      <c r="N30" s="26"/>
      <c r="O30" s="32">
        <f>M30*N30</f>
        <v>0</v>
      </c>
      <c r="P30" s="25"/>
      <c r="Q30" s="31"/>
      <c r="R30" s="19">
        <f>(M30+O30+Q30)</f>
        <v>272.65899581589963</v>
      </c>
      <c r="S30" s="44"/>
      <c r="T30" s="45"/>
      <c r="U30" s="48"/>
      <c r="Y30" s="71"/>
      <c r="AE30" s="21"/>
    </row>
    <row r="31" spans="1:31" ht="11.25" customHeight="1">
      <c r="A31" s="9"/>
      <c r="B31" s="10"/>
      <c r="C31" s="12">
        <v>20</v>
      </c>
      <c r="D31" s="10" t="s">
        <v>40</v>
      </c>
      <c r="E31" s="16"/>
      <c r="F31" s="10">
        <v>4.7</v>
      </c>
      <c r="G31" s="10">
        <v>4.7</v>
      </c>
      <c r="H31" s="19">
        <f>F31*G31</f>
        <v>22.090000000000003</v>
      </c>
      <c r="I31" s="16">
        <v>0</v>
      </c>
      <c r="J31" s="11">
        <f>C31-I31</f>
        <v>20</v>
      </c>
      <c r="K31" s="11">
        <v>1</v>
      </c>
      <c r="L31" s="18">
        <f>IF(D31="нс",'Коэф.'!$F$4,IF(D31="вс",'Коэф.'!$F$5,IF(D31="во",'Коэф.'!$F$6,IF(D31="пт",'Коэф.'!$F$7,IF(D31="эп",'Коэф.'!$F$8,IF(D31="пл",'Коэф.'!$F$8,IF(D31="до",'Коэф.'!$F$10,IF(D31="дв",'Коэф.'!$F$11,))))))))</f>
        <v>0.53475935828877</v>
      </c>
      <c r="M31" s="11">
        <f>H31*J31*K31*L31</f>
        <v>236.2566844919786</v>
      </c>
      <c r="N31" s="23"/>
      <c r="O31" s="32">
        <f>M31*N31</f>
        <v>0</v>
      </c>
      <c r="P31" s="25"/>
      <c r="Q31" s="31"/>
      <c r="R31" s="11">
        <f>M31+O31+Q31</f>
        <v>236.2566844919786</v>
      </c>
      <c r="S31" s="44"/>
      <c r="T31" s="46"/>
      <c r="U31" s="48"/>
      <c r="Y31" s="71"/>
      <c r="AE31" s="21"/>
    </row>
    <row r="32" spans="1:31" ht="13.5" thickBot="1">
      <c r="A32" s="13"/>
      <c r="B32" s="14"/>
      <c r="C32" s="14"/>
      <c r="D32" s="14"/>
      <c r="E32" s="14"/>
      <c r="F32" s="14"/>
      <c r="G32" s="14"/>
      <c r="H32" s="20"/>
      <c r="I32" s="14"/>
      <c r="J32" s="14"/>
      <c r="K32" s="14"/>
      <c r="L32" s="14"/>
      <c r="M32" s="14"/>
      <c r="N32" s="14"/>
      <c r="O32" s="20"/>
      <c r="P32" s="33"/>
      <c r="Q32" s="20"/>
      <c r="R32" s="15">
        <f>SUM(R26:R31)</f>
        <v>1785.9026033848015</v>
      </c>
      <c r="S32" s="35"/>
      <c r="T32" s="36"/>
      <c r="U32" s="48"/>
      <c r="Y32" s="38"/>
      <c r="AE32" s="21"/>
    </row>
    <row r="33" spans="1:31" ht="9.75">
      <c r="A33" s="24">
        <v>7</v>
      </c>
      <c r="B33" s="16" t="s">
        <v>43</v>
      </c>
      <c r="C33" s="12">
        <v>20</v>
      </c>
      <c r="D33" s="16" t="s">
        <v>7</v>
      </c>
      <c r="E33" s="16"/>
      <c r="F33" s="16">
        <v>3.9</v>
      </c>
      <c r="G33" s="16">
        <v>3.8</v>
      </c>
      <c r="H33" s="27">
        <f>F33*G33</f>
        <v>14.819999999999999</v>
      </c>
      <c r="I33" s="16">
        <v>-39</v>
      </c>
      <c r="J33" s="12">
        <f>C33-I33</f>
        <v>59</v>
      </c>
      <c r="K33" s="11">
        <f>IF(D33="нс",1,IF(D33="до",1,IF(D33="пт",0.9,IF(D33="дв",1,(C33-I33)/(C33--39)))))</f>
        <v>1</v>
      </c>
      <c r="L33" s="18">
        <f>IF(D33="нс",'Коэф.'!$F$4,IF(D33="вс",'Коэф.'!$F$5,IF(D33="во",'Коэф.'!$F$6,IF(D33="пт",'Коэф.'!$F$7,IF(D33="эп",'Коэф.'!$F$8,IF(D33="пл",'Коэф.'!$F$8,IF(D33="до",'Коэф.'!$F$10,IF(D33="дв",'Коэф.'!$F$11,))))))))</f>
        <v>0.2857142857142857</v>
      </c>
      <c r="M33" s="12">
        <f>H33*J33*K33*L33</f>
        <v>249.8228571428571</v>
      </c>
      <c r="N33" s="26">
        <v>0.13</v>
      </c>
      <c r="O33" s="34">
        <f>M33*N33</f>
        <v>32.476971428571424</v>
      </c>
      <c r="P33" s="25"/>
      <c r="Q33" s="31"/>
      <c r="R33" s="12">
        <f>M33+O33+Q33</f>
        <v>282.2998285714285</v>
      </c>
      <c r="S33" s="43">
        <f>Y33*3*J33*0.3976-10*Y33</f>
        <v>838.0077760000001</v>
      </c>
      <c r="T33" s="45">
        <f>ROUND((R37+S33),-1)</f>
        <v>1830</v>
      </c>
      <c r="U33" s="48"/>
      <c r="Y33" s="70">
        <v>13.88</v>
      </c>
      <c r="AE33" s="21"/>
    </row>
    <row r="34" spans="1:31" ht="9.75" customHeight="1" thickBot="1">
      <c r="A34" s="24"/>
      <c r="B34" s="10"/>
      <c r="C34" s="12">
        <v>20</v>
      </c>
      <c r="D34" s="10" t="s">
        <v>26</v>
      </c>
      <c r="E34" s="16"/>
      <c r="F34" s="10">
        <v>1.4</v>
      </c>
      <c r="G34" s="10">
        <v>2.6</v>
      </c>
      <c r="H34" s="19">
        <f>F34*G34</f>
        <v>3.6399999999999997</v>
      </c>
      <c r="I34" s="16">
        <v>-39</v>
      </c>
      <c r="J34" s="11">
        <f>C34-I34</f>
        <v>59</v>
      </c>
      <c r="K34" s="11">
        <f>IF(D34="нс",1,IF(D34="до",1,IF(D34="пт",0.9,IF(D34="дв",1,(C34-I34)/(C34--39)))))</f>
        <v>1</v>
      </c>
      <c r="L34" s="18">
        <f>IF(D34="нс",'Коэф.'!$F$4,IF(D34="вс",'Коэф.'!$F$5,IF(D34="во",'Коэф.'!$F$6,IF(D34="пт",'Коэф.'!$F$7,IF(D34="эп",'Коэф.'!$F$8,IF(D34="пл",'Коэф.'!$F$8,IF(D34="до",'Коэф.'!$F$10,IF(D34="дв",'Коэф.'!$F$11,))))))))</f>
        <v>1.5384615384615383</v>
      </c>
      <c r="M34" s="11">
        <f>H34*J34*K34*L34</f>
        <v>330.4</v>
      </c>
      <c r="N34" s="26">
        <v>0.13</v>
      </c>
      <c r="O34" s="32">
        <f>M34*N34</f>
        <v>42.952</v>
      </c>
      <c r="P34" s="25"/>
      <c r="Q34" s="31"/>
      <c r="R34" s="19">
        <f>(M34+O34+Q34)</f>
        <v>373.352</v>
      </c>
      <c r="S34" s="44"/>
      <c r="T34" s="46"/>
      <c r="U34" s="48"/>
      <c r="Y34" s="71"/>
      <c r="AE34" s="21"/>
    </row>
    <row r="35" spans="1:31" ht="9.75" customHeight="1">
      <c r="A35" s="24"/>
      <c r="B35" s="10"/>
      <c r="C35" s="12">
        <v>20</v>
      </c>
      <c r="D35" s="10" t="s">
        <v>28</v>
      </c>
      <c r="E35" s="16"/>
      <c r="F35" s="10">
        <v>3.8</v>
      </c>
      <c r="G35" s="10">
        <v>3.8</v>
      </c>
      <c r="H35" s="19">
        <f>F35*G35</f>
        <v>14.44</v>
      </c>
      <c r="I35" s="16">
        <v>-39</v>
      </c>
      <c r="J35" s="11">
        <f>C35-I35</f>
        <v>59</v>
      </c>
      <c r="K35" s="11">
        <v>1</v>
      </c>
      <c r="L35" s="18">
        <f>IF(D35="нс",'Коэф.'!$F$4,IF(D35="вс",'Коэф.'!$F$5,IF(D35="во",'Коэф.'!$F$6,IF(D35="пт",'Коэф.'!$F$7,IF(D35="эп",'Коэф.'!$F$8,IF(D35="пл",'Коэф.'!$F$8,IF(D35="до",'Коэф.'!$F$10,IF(D35="дв",'Коэф.'!$F$11,))))))))</f>
        <v>0.20920502092050208</v>
      </c>
      <c r="M35" s="11">
        <f>H35*J35*K35*L35</f>
        <v>178.23430962343093</v>
      </c>
      <c r="N35" s="26"/>
      <c r="O35" s="32">
        <f>M35*N35</f>
        <v>0</v>
      </c>
      <c r="P35" s="25"/>
      <c r="Q35" s="31"/>
      <c r="R35" s="19">
        <f>(M35+O35+Q35)</f>
        <v>178.23430962343093</v>
      </c>
      <c r="S35" s="44"/>
      <c r="T35" s="45"/>
      <c r="U35" s="48"/>
      <c r="Y35" s="71"/>
      <c r="AE35" s="21"/>
    </row>
    <row r="36" spans="1:31" ht="11.25" customHeight="1">
      <c r="A36" s="9"/>
      <c r="B36" s="10"/>
      <c r="C36" s="12">
        <v>20</v>
      </c>
      <c r="D36" s="10" t="s">
        <v>40</v>
      </c>
      <c r="E36" s="16"/>
      <c r="F36" s="10">
        <v>3.8</v>
      </c>
      <c r="G36" s="10">
        <v>3.8</v>
      </c>
      <c r="H36" s="19">
        <f>F36*G36</f>
        <v>14.44</v>
      </c>
      <c r="I36" s="16">
        <v>0</v>
      </c>
      <c r="J36" s="11">
        <f>C36-I36</f>
        <v>20</v>
      </c>
      <c r="K36" s="11">
        <v>1</v>
      </c>
      <c r="L36" s="18">
        <f>IF(D36="нс",'Коэф.'!$F$4,IF(D36="вс",'Коэф.'!$F$5,IF(D36="во",'Коэф.'!$F$6,IF(D36="пт",'Коэф.'!$F$7,IF(D36="эп",'Коэф.'!$F$8,IF(D36="пл",'Коэф.'!$F$8,IF(D36="до",'Коэф.'!$F$10,IF(D36="дв",'Коэф.'!$F$11,))))))))</f>
        <v>0.53475935828877</v>
      </c>
      <c r="M36" s="11">
        <f>H36*J36*K36*L36</f>
        <v>154.43850267379676</v>
      </c>
      <c r="N36" s="23"/>
      <c r="O36" s="32">
        <f>M36*N36</f>
        <v>0</v>
      </c>
      <c r="P36" s="25"/>
      <c r="Q36" s="31"/>
      <c r="R36" s="11">
        <f>M36+O36+Q36</f>
        <v>154.43850267379676</v>
      </c>
      <c r="S36" s="44"/>
      <c r="T36" s="46"/>
      <c r="U36" s="48"/>
      <c r="Y36" s="71"/>
      <c r="AE36" s="21"/>
    </row>
    <row r="37" spans="1:31" ht="13.5" thickBot="1">
      <c r="A37" s="13"/>
      <c r="B37" s="14"/>
      <c r="C37" s="14"/>
      <c r="D37" s="14"/>
      <c r="E37" s="14"/>
      <c r="F37" s="14"/>
      <c r="G37" s="14"/>
      <c r="H37" s="20"/>
      <c r="I37" s="14"/>
      <c r="J37" s="14"/>
      <c r="K37" s="14"/>
      <c r="L37" s="14"/>
      <c r="M37" s="14"/>
      <c r="N37" s="14"/>
      <c r="O37" s="20"/>
      <c r="P37" s="33"/>
      <c r="Q37" s="20"/>
      <c r="R37" s="15">
        <f>SUM(R33:R36)</f>
        <v>988.3246408686562</v>
      </c>
      <c r="S37" s="35"/>
      <c r="T37" s="36"/>
      <c r="U37" s="48"/>
      <c r="Y37" s="38"/>
      <c r="AE37" s="21"/>
    </row>
    <row r="38" spans="1:31" ht="9.75">
      <c r="A38" s="24">
        <v>10</v>
      </c>
      <c r="B38" s="16" t="s">
        <v>50</v>
      </c>
      <c r="C38" s="12">
        <v>20</v>
      </c>
      <c r="D38" s="16" t="s">
        <v>7</v>
      </c>
      <c r="E38" s="16"/>
      <c r="F38" s="16">
        <v>3.2</v>
      </c>
      <c r="G38" s="16">
        <v>3.8</v>
      </c>
      <c r="H38" s="27">
        <f>F38*G38</f>
        <v>12.16</v>
      </c>
      <c r="I38" s="16">
        <v>-39</v>
      </c>
      <c r="J38" s="12">
        <f>C38-I38</f>
        <v>59</v>
      </c>
      <c r="K38" s="11">
        <f>IF(D38="нс",1,IF(D38="до",1,IF(D38="пт",0.9,IF(D38="дв",1,(C38-I38)/(C38--39)))))</f>
        <v>1</v>
      </c>
      <c r="L38" s="18">
        <f>IF(D38="нс",'Коэф.'!$F$4,IF(D38="вс",'Коэф.'!$F$5,IF(D38="во",'Коэф.'!$F$6,IF(D38="пт",'Коэф.'!$F$7,IF(D38="эп",'Коэф.'!$F$8,IF(D38="пл",'Коэф.'!$F$8,IF(D38="до",'Коэф.'!$F$10,IF(D38="дв",'Коэф.'!$F$11,))))))))</f>
        <v>0.2857142857142857</v>
      </c>
      <c r="M38" s="12">
        <f>H38*J38*K38*L38</f>
        <v>204.98285714285714</v>
      </c>
      <c r="N38" s="26">
        <v>0.13</v>
      </c>
      <c r="O38" s="34">
        <f>M38*N38</f>
        <v>26.647771428571428</v>
      </c>
      <c r="P38" s="25"/>
      <c r="Q38" s="31"/>
      <c r="R38" s="12">
        <f>M38+O38+Q38</f>
        <v>231.63062857142856</v>
      </c>
      <c r="S38" s="43">
        <f>40*J38*0.43</f>
        <v>1014.8</v>
      </c>
      <c r="T38" s="45">
        <f>ROUND((R42+S38),-1)</f>
        <v>1580</v>
      </c>
      <c r="U38" s="48"/>
      <c r="Y38" s="70"/>
      <c r="AE38" s="21"/>
    </row>
    <row r="39" spans="1:31" ht="9.75" customHeight="1" thickBot="1">
      <c r="A39" s="24"/>
      <c r="B39" s="10"/>
      <c r="C39" s="12">
        <v>20</v>
      </c>
      <c r="D39" s="10" t="s">
        <v>26</v>
      </c>
      <c r="E39" s="16"/>
      <c r="F39" s="10">
        <v>1</v>
      </c>
      <c r="G39" s="10">
        <v>1</v>
      </c>
      <c r="H39" s="19">
        <f>F39*G39</f>
        <v>1</v>
      </c>
      <c r="I39" s="16">
        <v>-39</v>
      </c>
      <c r="J39" s="11">
        <f>C39-I39</f>
        <v>59</v>
      </c>
      <c r="K39" s="11">
        <f>IF(D39="нс",1,IF(D39="до",1,IF(D39="пт",0.9,IF(D39="дв",1,(C39-I39)/(C39--39)))))</f>
        <v>1</v>
      </c>
      <c r="L39" s="18">
        <f>IF(D39="нс",'Коэф.'!$F$4,IF(D39="вс",'Коэф.'!$F$5,IF(D39="во",'Коэф.'!$F$6,IF(D39="пт",'Коэф.'!$F$7,IF(D39="эп",'Коэф.'!$F$8,IF(D39="пл",'Коэф.'!$F$8,IF(D39="до",'Коэф.'!$F$10,IF(D39="дв",'Коэф.'!$F$11,))))))))</f>
        <v>1.5384615384615383</v>
      </c>
      <c r="M39" s="11">
        <f>H39*J39*K39*L39</f>
        <v>90.76923076923076</v>
      </c>
      <c r="N39" s="26">
        <v>0.13</v>
      </c>
      <c r="O39" s="32">
        <f>M39*N39</f>
        <v>11.799999999999999</v>
      </c>
      <c r="P39" s="25"/>
      <c r="Q39" s="31"/>
      <c r="R39" s="19">
        <f>(M39+O39+Q39)</f>
        <v>102.56923076923076</v>
      </c>
      <c r="S39" s="44"/>
      <c r="T39" s="46"/>
      <c r="U39" s="48"/>
      <c r="Y39" s="71"/>
      <c r="AE39" s="21"/>
    </row>
    <row r="40" spans="1:31" ht="9.75" customHeight="1">
      <c r="A40" s="24"/>
      <c r="B40" s="10"/>
      <c r="C40" s="12">
        <v>20</v>
      </c>
      <c r="D40" s="10" t="s">
        <v>28</v>
      </c>
      <c r="E40" s="16"/>
      <c r="F40" s="10">
        <v>3.2</v>
      </c>
      <c r="G40" s="10">
        <v>3.2</v>
      </c>
      <c r="H40" s="19">
        <f>F40*G40</f>
        <v>10.240000000000002</v>
      </c>
      <c r="I40" s="16">
        <v>-39</v>
      </c>
      <c r="J40" s="11">
        <f>C40-I40</f>
        <v>59</v>
      </c>
      <c r="K40" s="11">
        <v>1</v>
      </c>
      <c r="L40" s="18">
        <f>IF(D40="нс",'Коэф.'!$F$4,IF(D40="вс",'Коэф.'!$F$5,IF(D40="во",'Коэф.'!$F$6,IF(D40="пт",'Коэф.'!$F$7,IF(D40="эп",'Коэф.'!$F$8,IF(D40="пл",'Коэф.'!$F$8,IF(D40="до",'Коэф.'!$F$10,IF(D40="дв",'Коэф.'!$F$11,))))))))</f>
        <v>0.20920502092050208</v>
      </c>
      <c r="M40" s="11">
        <f>H40*J40*K40*L40</f>
        <v>126.39330543933056</v>
      </c>
      <c r="N40" s="26"/>
      <c r="O40" s="32">
        <f>M40*N40</f>
        <v>0</v>
      </c>
      <c r="P40" s="25"/>
      <c r="Q40" s="31"/>
      <c r="R40" s="19">
        <f>(M40+O40+Q40)</f>
        <v>126.39330543933056</v>
      </c>
      <c r="S40" s="44"/>
      <c r="T40" s="45"/>
      <c r="U40" s="48"/>
      <c r="Y40" s="71"/>
      <c r="AE40" s="21"/>
    </row>
    <row r="41" spans="1:31" ht="11.25" customHeight="1">
      <c r="A41" s="9"/>
      <c r="B41" s="10"/>
      <c r="C41" s="12">
        <v>20</v>
      </c>
      <c r="D41" s="10" t="s">
        <v>40</v>
      </c>
      <c r="E41" s="16"/>
      <c r="F41" s="10">
        <v>3.2</v>
      </c>
      <c r="G41" s="10">
        <v>3.2</v>
      </c>
      <c r="H41" s="19">
        <f>F41*G41</f>
        <v>10.240000000000002</v>
      </c>
      <c r="I41" s="16">
        <v>0</v>
      </c>
      <c r="J41" s="11">
        <f>C41-I41</f>
        <v>20</v>
      </c>
      <c r="K41" s="11">
        <v>1</v>
      </c>
      <c r="L41" s="18">
        <f>IF(D41="нс",'Коэф.'!$F$4,IF(D41="вс",'Коэф.'!$F$5,IF(D41="во",'Коэф.'!$F$6,IF(D41="пт",'Коэф.'!$F$7,IF(D41="эп",'Коэф.'!$F$8,IF(D41="пл",'Коэф.'!$F$8,IF(D41="до",'Коэф.'!$F$10,IF(D41="дв",'Коэф.'!$F$11,))))))))</f>
        <v>0.53475935828877</v>
      </c>
      <c r="M41" s="11">
        <f>H41*J41*K41*L41</f>
        <v>109.5187165775401</v>
      </c>
      <c r="N41" s="23"/>
      <c r="O41" s="32">
        <f>M41*N41</f>
        <v>0</v>
      </c>
      <c r="P41" s="25"/>
      <c r="Q41" s="31"/>
      <c r="R41" s="11">
        <f>M41+O41+Q41</f>
        <v>109.5187165775401</v>
      </c>
      <c r="S41" s="44"/>
      <c r="T41" s="46"/>
      <c r="U41" s="48"/>
      <c r="Y41" s="71"/>
      <c r="AE41" s="21"/>
    </row>
    <row r="42" spans="1:31" ht="13.5" thickBot="1">
      <c r="A42" s="13"/>
      <c r="B42" s="14"/>
      <c r="C42" s="14"/>
      <c r="D42" s="14"/>
      <c r="E42" s="14"/>
      <c r="F42" s="14"/>
      <c r="G42" s="14"/>
      <c r="H42" s="20"/>
      <c r="I42" s="14"/>
      <c r="J42" s="14"/>
      <c r="K42" s="14"/>
      <c r="L42" s="14"/>
      <c r="M42" s="14"/>
      <c r="N42" s="14"/>
      <c r="O42" s="20"/>
      <c r="P42" s="33"/>
      <c r="Q42" s="20"/>
      <c r="R42" s="15">
        <f>SUM(R38:R41)</f>
        <v>570.11188135753</v>
      </c>
      <c r="S42" s="35"/>
      <c r="T42" s="36"/>
      <c r="U42" s="48"/>
      <c r="Y42" s="38"/>
      <c r="AE42" s="21"/>
    </row>
    <row r="43" spans="1:31" ht="9.75">
      <c r="A43" s="24">
        <v>2</v>
      </c>
      <c r="B43" s="16" t="s">
        <v>48</v>
      </c>
      <c r="C43" s="12">
        <v>20</v>
      </c>
      <c r="D43" s="16" t="s">
        <v>28</v>
      </c>
      <c r="E43" s="16"/>
      <c r="F43" s="10">
        <v>4.4</v>
      </c>
      <c r="G43" s="10">
        <v>4.4</v>
      </c>
      <c r="H43" s="27">
        <f>F43*G43</f>
        <v>19.360000000000003</v>
      </c>
      <c r="I43" s="16">
        <v>-39</v>
      </c>
      <c r="J43" s="12">
        <f>C43-I43</f>
        <v>59</v>
      </c>
      <c r="K43" s="11">
        <v>1</v>
      </c>
      <c r="L43" s="18">
        <f>IF(D43="нс",'Коэф.'!$F$4,IF(D43="вс",'Коэф.'!$F$5,IF(D43="во",'Коэф.'!$F$6,IF(D43="пт",'Коэф.'!$F$7,IF(D43="эп",'Коэф.'!$F$8,IF(D43="пл",'Коэф.'!$F$8,IF(D43="до",'Коэф.'!$F$10,IF(D43="дв",'Коэф.'!$F$11,))))))))</f>
        <v>0.20920502092050208</v>
      </c>
      <c r="M43" s="12">
        <f>H43*J43*K43*L43</f>
        <v>238.96234309623435</v>
      </c>
      <c r="N43" s="26"/>
      <c r="O43" s="34">
        <f>M43*N43</f>
        <v>0</v>
      </c>
      <c r="P43" s="25"/>
      <c r="Q43" s="31"/>
      <c r="R43" s="12">
        <f>M43+O43+Q43</f>
        <v>238.96234309623435</v>
      </c>
      <c r="S43" s="43">
        <f>Y43*3*J43*0.3976-10*Y43</f>
        <v>1141.0912799999999</v>
      </c>
      <c r="T43" s="45">
        <f>ROUND((R45+S43),-1)</f>
        <v>1540</v>
      </c>
      <c r="U43" s="48"/>
      <c r="Y43" s="70">
        <v>18.9</v>
      </c>
      <c r="AE43" s="21"/>
    </row>
    <row r="44" spans="1:31" ht="11.25" customHeight="1">
      <c r="A44" s="9"/>
      <c r="B44" s="10"/>
      <c r="C44" s="12">
        <v>20</v>
      </c>
      <c r="D44" s="10" t="s">
        <v>40</v>
      </c>
      <c r="E44" s="16"/>
      <c r="F44" s="10">
        <v>4.4</v>
      </c>
      <c r="G44" s="10">
        <v>4.4</v>
      </c>
      <c r="H44" s="19">
        <f>F44*G44</f>
        <v>19.360000000000003</v>
      </c>
      <c r="I44" s="16">
        <v>5</v>
      </c>
      <c r="J44" s="11">
        <f>C44-I44</f>
        <v>15</v>
      </c>
      <c r="K44" s="11">
        <v>1</v>
      </c>
      <c r="L44" s="18">
        <f>IF(D44="нс",'Коэф.'!$F$4,IF(D44="вс",'Коэф.'!$F$5,IF(D44="во",'Коэф.'!$F$6,IF(D44="пт",'Коэф.'!$F$7,IF(D44="эп",'Коэф.'!$F$8,IF(D44="пл",'Коэф.'!$F$8,IF(D44="до",'Коэф.'!$F$10,IF(D44="дв",'Коэф.'!$F$11,))))))))</f>
        <v>0.53475935828877</v>
      </c>
      <c r="M44" s="11">
        <f>H44*J44*K44*L44</f>
        <v>155.2941176470588</v>
      </c>
      <c r="N44" s="23"/>
      <c r="O44" s="32">
        <f>M44*N44</f>
        <v>0</v>
      </c>
      <c r="P44" s="25"/>
      <c r="Q44" s="31"/>
      <c r="R44" s="11">
        <f>M44+O44+Q44</f>
        <v>155.2941176470588</v>
      </c>
      <c r="S44" s="44"/>
      <c r="T44" s="46"/>
      <c r="U44" s="48"/>
      <c r="Y44" s="71"/>
      <c r="AE44" s="21"/>
    </row>
    <row r="45" spans="1:31" ht="13.5" thickBot="1">
      <c r="A45" s="13"/>
      <c r="B45" s="14"/>
      <c r="C45" s="14"/>
      <c r="D45" s="14"/>
      <c r="E45" s="14"/>
      <c r="F45" s="14"/>
      <c r="G45" s="14"/>
      <c r="H45" s="20"/>
      <c r="I45" s="14"/>
      <c r="J45" s="14"/>
      <c r="K45" s="14"/>
      <c r="L45" s="14"/>
      <c r="M45" s="14"/>
      <c r="N45" s="14"/>
      <c r="O45" s="20"/>
      <c r="P45" s="33"/>
      <c r="Q45" s="20"/>
      <c r="R45" s="15">
        <f>SUM(R43:R44)</f>
        <v>394.25646074329313</v>
      </c>
      <c r="S45" s="35"/>
      <c r="T45" s="36"/>
      <c r="U45" s="49"/>
      <c r="Y45" s="38"/>
      <c r="AE45" s="21"/>
    </row>
    <row r="46" ht="11.25" customHeight="1"/>
    <row r="52" ht="11.25" customHeight="1"/>
    <row r="53" ht="11.25" customHeight="1"/>
    <row r="54" ht="11.25" customHeight="1"/>
    <row r="57" ht="11.25" customHeight="1">
      <c r="U57" s="22"/>
    </row>
    <row r="58" ht="11.25" customHeight="1">
      <c r="U58" s="22"/>
    </row>
    <row r="59" ht="11.25" customHeight="1">
      <c r="U59" s="22"/>
    </row>
    <row r="60" ht="11.25" customHeight="1">
      <c r="U60" s="22"/>
    </row>
    <row r="63" ht="9.75">
      <c r="U63" s="21"/>
    </row>
    <row r="67" ht="11.25" customHeight="1"/>
    <row r="68" ht="11.25" customHeight="1">
      <c r="U68" s="22"/>
    </row>
    <row r="73" ht="11.25" customHeight="1">
      <c r="U73" s="22"/>
    </row>
    <row r="78" ht="11.25" customHeight="1">
      <c r="U78" s="22"/>
    </row>
    <row r="80" spans="21:23" ht="9.75">
      <c r="U80" s="21"/>
      <c r="W80" s="21"/>
    </row>
  </sheetData>
  <sheetProtection/>
  <mergeCells count="43">
    <mergeCell ref="S12:S17"/>
    <mergeCell ref="T12:T17"/>
    <mergeCell ref="Y12:Y17"/>
    <mergeCell ref="S19:S24"/>
    <mergeCell ref="T19:T24"/>
    <mergeCell ref="Y19:Y24"/>
    <mergeCell ref="S26:S31"/>
    <mergeCell ref="T26:T31"/>
    <mergeCell ref="Y26:Y31"/>
    <mergeCell ref="S33:S36"/>
    <mergeCell ref="T33:T36"/>
    <mergeCell ref="Y33:Y36"/>
    <mergeCell ref="S38:S41"/>
    <mergeCell ref="T38:T41"/>
    <mergeCell ref="Y38:Y41"/>
    <mergeCell ref="Y1:Y2"/>
    <mergeCell ref="Y5:Y10"/>
    <mergeCell ref="Y43:Y44"/>
    <mergeCell ref="A4:T4"/>
    <mergeCell ref="U5:U45"/>
    <mergeCell ref="T5:T10"/>
    <mergeCell ref="S5:S10"/>
    <mergeCell ref="S43:S44"/>
    <mergeCell ref="T43:T44"/>
    <mergeCell ref="N1:O1"/>
    <mergeCell ref="A1:A2"/>
    <mergeCell ref="C1:C2"/>
    <mergeCell ref="P1:Q1"/>
    <mergeCell ref="I1:I2"/>
    <mergeCell ref="L1:L2"/>
    <mergeCell ref="J1:J2"/>
    <mergeCell ref="R1:R2"/>
    <mergeCell ref="P3:Q3"/>
    <mergeCell ref="A3:B3"/>
    <mergeCell ref="N3:O3"/>
    <mergeCell ref="F3:G3"/>
    <mergeCell ref="B1:B2"/>
    <mergeCell ref="D1:H1"/>
    <mergeCell ref="T1:T2"/>
    <mergeCell ref="S1:S2"/>
    <mergeCell ref="K1:K2"/>
    <mergeCell ref="F2:G2"/>
    <mergeCell ref="M1:M2"/>
  </mergeCells>
  <printOptions horizontalCentered="1"/>
  <pageMargins left="0.31496062992125984" right="0.1968503937007874" top="0.1968503937007874" bottom="0.1968503937007874" header="0.5118110236220472" footer="0.196850393700787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sweet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гаЁЄ</dc:creator>
  <cp:keywords/>
  <dc:description/>
  <cp:lastModifiedBy>Рома</cp:lastModifiedBy>
  <cp:lastPrinted>2009-05-21T03:26:57Z</cp:lastPrinted>
  <dcterms:created xsi:type="dcterms:W3CDTF">2002-04-25T11:54:19Z</dcterms:created>
  <dcterms:modified xsi:type="dcterms:W3CDTF">2014-03-10T02:29:45Z</dcterms:modified>
  <cp:category/>
  <cp:version/>
  <cp:contentType/>
  <cp:contentStatus/>
</cp:coreProperties>
</file>