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8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31" i="1" l="1"/>
  <c r="D43" i="1" s="1"/>
  <c r="F43" i="1" s="1"/>
  <c r="D30" i="1"/>
  <c r="F30" i="1" s="1"/>
  <c r="C43" i="1"/>
  <c r="C42" i="1"/>
  <c r="D41" i="1"/>
  <c r="D42" i="1" s="1"/>
  <c r="F42" i="1" s="1"/>
  <c r="C41" i="1"/>
  <c r="D40" i="1"/>
  <c r="F40" i="1" s="1"/>
  <c r="F39" i="1"/>
  <c r="C39" i="1"/>
  <c r="D38" i="1"/>
  <c r="F38" i="1" s="1"/>
  <c r="C38" i="1"/>
  <c r="F37" i="1"/>
  <c r="C37" i="1"/>
  <c r="F36" i="1"/>
  <c r="E35" i="1"/>
  <c r="F35" i="1" s="1"/>
  <c r="C35" i="1"/>
  <c r="C34" i="1"/>
  <c r="D33" i="1"/>
  <c r="F33" i="1" s="1"/>
  <c r="C33" i="1"/>
  <c r="C32" i="1"/>
  <c r="C31" i="1"/>
  <c r="C30" i="1"/>
  <c r="D32" i="1" l="1"/>
  <c r="F32" i="1" s="1"/>
  <c r="F41" i="1"/>
  <c r="F31" i="1"/>
  <c r="D34" i="1"/>
  <c r="F34" i="1" s="1"/>
  <c r="F86" i="1"/>
  <c r="F80" i="1"/>
  <c r="D104" i="1"/>
  <c r="E98" i="1" l="1"/>
  <c r="E100" i="1"/>
  <c r="F116" i="1"/>
  <c r="F115" i="1"/>
  <c r="D82" i="1" l="1"/>
  <c r="D79" i="1" l="1"/>
  <c r="F79" i="1"/>
  <c r="D77" i="1"/>
  <c r="F77" i="1"/>
  <c r="D76" i="1"/>
  <c r="D78" i="1"/>
  <c r="F78" i="1" s="1"/>
  <c r="D75" i="1" l="1"/>
  <c r="F76" i="1"/>
  <c r="D72" i="1" l="1"/>
  <c r="D63" i="1"/>
  <c r="F63" i="1" s="1"/>
  <c r="F62" i="1"/>
  <c r="D60" i="1"/>
  <c r="D58" i="1" s="1"/>
  <c r="D61" i="1" s="1"/>
  <c r="D64" i="1"/>
  <c r="F64" i="1" s="1"/>
  <c r="D54" i="1"/>
  <c r="D25" i="1"/>
  <c r="D27" i="1"/>
  <c r="D16" i="1" l="1"/>
  <c r="D13" i="1"/>
  <c r="D11" i="1"/>
  <c r="F6" i="1"/>
  <c r="F114" i="1" l="1"/>
  <c r="F113" i="1"/>
  <c r="F112" i="1"/>
  <c r="F109" i="1" l="1"/>
  <c r="D83" i="1"/>
  <c r="D70" i="1"/>
  <c r="F83" i="1" l="1"/>
  <c r="F84" i="1"/>
  <c r="F72" i="1"/>
  <c r="D73" i="1"/>
  <c r="D53" i="1"/>
  <c r="F49" i="1"/>
  <c r="F48" i="1"/>
  <c r="F47" i="1"/>
  <c r="F46" i="1"/>
  <c r="F22" i="1"/>
  <c r="F15" i="1" l="1"/>
  <c r="F133" i="1" l="1"/>
  <c r="F132" i="1"/>
  <c r="F131" i="1"/>
  <c r="F130" i="1" l="1"/>
  <c r="F129" i="1"/>
  <c r="F128" i="1"/>
  <c r="F127" i="1"/>
  <c r="F126" i="1"/>
  <c r="F125" i="1"/>
  <c r="F124" i="1"/>
  <c r="F123" i="1"/>
  <c r="F122" i="1"/>
  <c r="F119" i="1"/>
  <c r="F108" i="1"/>
  <c r="F110" i="1"/>
  <c r="F117" i="1"/>
  <c r="E96" i="1"/>
  <c r="E94" i="1"/>
  <c r="E92" i="1"/>
  <c r="D69" i="1"/>
  <c r="F69" i="1" s="1"/>
  <c r="F121" i="1" l="1"/>
  <c r="F68" i="1"/>
  <c r="F59" i="1"/>
  <c r="F50" i="1"/>
  <c r="D26" i="1" l="1"/>
  <c r="F26" i="1" s="1"/>
  <c r="F27" i="1"/>
  <c r="F25" i="1" l="1"/>
  <c r="F16" i="1" l="1"/>
  <c r="D17" i="1"/>
  <c r="F12" i="1"/>
  <c r="F11" i="1"/>
  <c r="F18" i="1" l="1"/>
  <c r="F13" i="1"/>
  <c r="F14" i="1"/>
  <c r="F102" i="1" l="1"/>
  <c r="D91" i="1"/>
  <c r="F120" i="1"/>
  <c r="F111" i="1"/>
  <c r="F65" i="1"/>
  <c r="F60" i="1"/>
  <c r="D92" i="1" l="1"/>
  <c r="F91" i="1"/>
  <c r="F67" i="1"/>
  <c r="F92" i="1" l="1"/>
  <c r="D93" i="1"/>
  <c r="F66" i="1"/>
  <c r="F61" i="1"/>
  <c r="F58" i="1"/>
  <c r="D94" i="1" l="1"/>
  <c r="F93" i="1"/>
  <c r="D95" i="1" l="1"/>
  <c r="F94" i="1"/>
  <c r="F118" i="1"/>
  <c r="F24" i="1"/>
  <c r="F23" i="1"/>
  <c r="D96" i="1" l="1"/>
  <c r="F95" i="1"/>
  <c r="F104" i="1"/>
  <c r="F21" i="1"/>
  <c r="F10" i="1"/>
  <c r="F96" i="1" l="1"/>
  <c r="D97" i="1"/>
  <c r="F82" i="1"/>
  <c r="F70" i="1"/>
  <c r="F75" i="1"/>
  <c r="F73" i="1"/>
  <c r="F17" i="1"/>
  <c r="F20" i="1"/>
  <c r="F28" i="1" s="1"/>
  <c r="F107" i="1"/>
  <c r="F106" i="1"/>
  <c r="F105" i="1" l="1"/>
  <c r="D98" i="1"/>
  <c r="D99" i="1" s="1"/>
  <c r="F97" i="1"/>
  <c r="F44" i="1"/>
  <c r="F87" i="1" s="1"/>
  <c r="F71" i="1"/>
  <c r="D100" i="1" l="1"/>
  <c r="F100" i="1" s="1"/>
  <c r="F99" i="1"/>
  <c r="F98" i="1"/>
  <c r="F101" i="1" s="1"/>
  <c r="C1" i="1" l="1"/>
  <c r="F53" i="1" l="1"/>
  <c r="F51" i="1" l="1"/>
  <c r="F54" i="1" l="1"/>
  <c r="F55" i="1" s="1"/>
  <c r="A1" i="1" l="1"/>
  <c r="F88" i="1" l="1"/>
  <c r="F89" i="1" s="1"/>
  <c r="F103" i="1" l="1"/>
  <c r="F134" i="1" s="1"/>
  <c r="F135" i="1" s="1"/>
</calcChain>
</file>

<file path=xl/sharedStrings.xml><?xml version="1.0" encoding="utf-8"?>
<sst xmlns="http://schemas.openxmlformats.org/spreadsheetml/2006/main" count="235" uniqueCount="152">
  <si>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</si>
  <si>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</si>
  <si>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</si>
  <si>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</si>
  <si>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</si>
  <si>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</si>
  <si>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</si>
  <si>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</si>
  <si>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</si>
  <si>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</si>
  <si>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</si>
  <si>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</si>
  <si>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</si>
  <si>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</si>
  <si>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</si>
  <si>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</si>
  <si>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</si>
  <si>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</si>
  <si>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</si>
  <si>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>Раздел 2. Модули</t>
  </si>
  <si>
    <t>Разметка и вынос осей</t>
  </si>
  <si>
    <t>чел/час</t>
  </si>
  <si>
    <t xml:space="preserve">ПОЛ </t>
  </si>
  <si>
    <t>Раздел 1. Фундамент</t>
  </si>
  <si>
    <t>СТЕНЫ</t>
  </si>
  <si>
    <t>ПОТОЛОК</t>
  </si>
  <si>
    <t>Цена за м2:</t>
  </si>
  <si>
    <t>Описание модулей:</t>
  </si>
  <si>
    <t>Общая площадь, м2:</t>
  </si>
  <si>
    <t>Толщина сэндвич-панелей (стены/потолок/пол), мм:</t>
  </si>
  <si>
    <t>Монтаж металлоконструкций обвязки оголовков свай</t>
  </si>
  <si>
    <t>Сборка СРМ</t>
  </si>
  <si>
    <t>Монтаж первого этажа здания</t>
  </si>
  <si>
    <t>к-т</t>
  </si>
  <si>
    <t>Конструкции металлические ферм</t>
  </si>
  <si>
    <t>Монтаж металлоконструкций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</si>
  <si>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</si>
  <si>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</si>
  <si>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</si>
  <si>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</si>
  <si>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</si>
  <si>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</si>
  <si>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</si>
  <si>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</si>
  <si>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Клей для кафеля и керамогранита</t>
  </si>
  <si>
    <t>Монтаж облицовки потолков</t>
  </si>
  <si>
    <t>%</t>
  </si>
  <si>
    <t>Монтаж металлоконструкций крыльц</t>
  </si>
  <si>
    <t>Септик 5 м3 с монтажём и присоединением под ключ</t>
  </si>
  <si>
    <t>Комплектующие для подсистемы (кронштейны, профиль, соединители, саморезы)</t>
  </si>
  <si>
    <t>Монтаж облицовки стен</t>
  </si>
  <si>
    <t>кг</t>
  </si>
  <si>
    <t>Плитка для пола Соло Крема</t>
  </si>
  <si>
    <t>тн</t>
  </si>
  <si>
    <t>м3</t>
  </si>
  <si>
    <t>-</t>
  </si>
  <si>
    <t>Унитаз с обвязкой</t>
  </si>
  <si>
    <t>Раковина + смеситель с обвязкой</t>
  </si>
  <si>
    <t>Бурение скважин диам.200-300мм с погружением обсадной трубы</t>
  </si>
  <si>
    <t>Цоколь из профлиста на подсистеме (работа + материал)</t>
  </si>
  <si>
    <t>м</t>
  </si>
  <si>
    <t>Профлист Н44</t>
  </si>
  <si>
    <t>Двери внутренние стандартные</t>
  </si>
  <si>
    <t xml:space="preserve">Панели ПВХ </t>
  </si>
  <si>
    <t>трудногорючие панели Cryplat (Криплат)</t>
  </si>
  <si>
    <t>Укладка линолеума</t>
  </si>
  <si>
    <t xml:space="preserve">Линолеум </t>
  </si>
  <si>
    <t>Монтаж стального покрытия</t>
  </si>
  <si>
    <t>Металлический рифленый лист 3 мм</t>
  </si>
  <si>
    <t>Электрика  (материалы)</t>
  </si>
  <si>
    <t>Электрика (монтаж)</t>
  </si>
  <si>
    <t>Водоснабжение, канализация (материалы)</t>
  </si>
  <si>
    <t>Водоснабжение, канализация</t>
  </si>
  <si>
    <t xml:space="preserve">Отопление и вентиляция (материалы) </t>
  </si>
  <si>
    <t>Отопление и вентиляция (монтаж)</t>
  </si>
  <si>
    <t>Радиторы биметаллические</t>
  </si>
  <si>
    <t>секция</t>
  </si>
  <si>
    <t>Поддон душевой со смесителем, 800х800мм</t>
  </si>
  <si>
    <t>Насосная станция Unipump Акваробот JET 80LA</t>
  </si>
  <si>
    <t>Раздел 3. Кровля</t>
  </si>
  <si>
    <t>Раздел 4. Проемы (стандартные окна включены в стоимость модулей)</t>
  </si>
  <si>
    <t xml:space="preserve">Раздел 5. Внутренние перегородки </t>
  </si>
  <si>
    <t>Раздел 6. Отделочные работы</t>
  </si>
  <si>
    <t xml:space="preserve">Раздел 8. Инженерные сети </t>
  </si>
  <si>
    <t>Раздел 9. Проектные работы</t>
  </si>
  <si>
    <t>Раздел 10. Накладные расходы</t>
  </si>
  <si>
    <t>Раздел 11. Аренда автокрана</t>
  </si>
  <si>
    <t>Раздел 12. Сантехническое оборудование:</t>
  </si>
  <si>
    <t>Раздел 13. Мебель:</t>
  </si>
  <si>
    <t xml:space="preserve">Стол письменный 1400х800мм </t>
  </si>
  <si>
    <t>шт.</t>
  </si>
  <si>
    <t>Тумба 450х450мм</t>
  </si>
  <si>
    <t>Стол для руководителя 1400х800мм с 2 тумбами</t>
  </si>
  <si>
    <t>Стол для переговоров 1400х800мм</t>
  </si>
  <si>
    <t>Кресло для руководителя</t>
  </si>
  <si>
    <t>Кресло офисное</t>
  </si>
  <si>
    <t>Стул ИЗО</t>
  </si>
  <si>
    <t>Шкаф для одежды ЛДСП 600х600х1800мм со штангой и полкой</t>
  </si>
  <si>
    <t xml:space="preserve">Стеллаж для документов 800х400х1800мм ЛДСП </t>
  </si>
  <si>
    <t xml:space="preserve">Диван мягкий </t>
  </si>
  <si>
    <t>рейс</t>
  </si>
  <si>
    <t>Куюмбинского месторождения.</t>
  </si>
  <si>
    <t xml:space="preserve"> ОАО НИКИМТ-Атомстрой</t>
  </si>
  <si>
    <t>Сваи из стальных труб</t>
  </si>
  <si>
    <t>Заполнение полости вокруг свай и внутри пес.гравийными смесями</t>
  </si>
  <si>
    <t>Песчанно-гравийная смесь</t>
  </si>
  <si>
    <t>Цементно-песч. смесь</t>
  </si>
  <si>
    <t>Металлоконструкции обвязки оголовков свай из двутавра 26Ш1</t>
  </si>
  <si>
    <t>Монтаж второго и третьего этажа здания</t>
  </si>
  <si>
    <t>Двери внутренние двухстворчатые</t>
  </si>
  <si>
    <t>Дверь входная стандарт металлическая</t>
  </si>
  <si>
    <t>Дверь входная двухстворчатая металлическая</t>
  </si>
  <si>
    <t>Установка дверей</t>
  </si>
  <si>
    <t>Керамогранит</t>
  </si>
  <si>
    <t>Конструкции металлические крыльц и навесов</t>
  </si>
  <si>
    <t>Раздел 7. Лестницы, крыльца, пандус, навесы</t>
  </si>
  <si>
    <t>СКУД (материалы)</t>
  </si>
  <si>
    <t>СКУД (монтаж)</t>
  </si>
  <si>
    <t>Раздел 15. Доставка материалов и конструкций</t>
  </si>
  <si>
    <t xml:space="preserve">Раздел 16. Доставка крана и бурильной установки </t>
  </si>
  <si>
    <t>КОЛИЧЕСТВО МАШИН НА ДОСТАВКУ</t>
  </si>
  <si>
    <t>150/200/150</t>
  </si>
  <si>
    <t>Модуль без 1 длинной и 1 короткой  стороны, 6*3м, 150/200/150</t>
  </si>
  <si>
    <t>Модуль без 2 длинных и 1 короткой сторон, 6*3м, 150/200/150</t>
  </si>
  <si>
    <t>Кассета кровли, б=200мм</t>
  </si>
  <si>
    <t>Кассета пола, б=150мм</t>
  </si>
  <si>
    <t>Неучтенные работы и материалы (около 1 %)</t>
  </si>
  <si>
    <t>Укладка кафеля и керамогранита на пол</t>
  </si>
  <si>
    <t>Душевая кабина</t>
  </si>
  <si>
    <t>Ёмкость ПВХ, 1000л</t>
  </si>
  <si>
    <t>АПС, ОПС и СОУЭ (материалы)</t>
  </si>
  <si>
    <t>АПС, ОПС и СОУЭ (монтаж)</t>
  </si>
  <si>
    <t>Водонагреватель "Аристон", 10л</t>
  </si>
  <si>
    <t>Водонагреватель "Аристон", 50л</t>
  </si>
  <si>
    <t>Водонагреватель "Аристон", 200л</t>
  </si>
  <si>
    <t>МЗ, ВП, Столовая</t>
  </si>
  <si>
    <t>вн. высота 2,6м</t>
  </si>
  <si>
    <t>Кафель</t>
  </si>
  <si>
    <t>Укладка кафеля на стены</t>
  </si>
  <si>
    <t>Панели ПВХ в комплекте с подсистемой</t>
  </si>
  <si>
    <t>Потолки армстронг в комплекте с подсистемой</t>
  </si>
  <si>
    <t>Потолки армстронг влагостойкий в комплекте с подсистемой</t>
  </si>
  <si>
    <t>Потолки из ГКЛ в комплекте с подсистемой</t>
  </si>
  <si>
    <t>Конструкции разгрузочный рампы с навесом</t>
  </si>
  <si>
    <t>Водонагреватель "Аристон", 100л</t>
  </si>
  <si>
    <t>Водонагреватель "Аристон", 500л</t>
  </si>
  <si>
    <t>Титан 150</t>
  </si>
  <si>
    <t>Подъёмник грузовой на рампу</t>
  </si>
  <si>
    <t xml:space="preserve"> </t>
  </si>
  <si>
    <t>Пиломатериал, доска</t>
  </si>
  <si>
    <t>Монтаж кровли (двухскатная)</t>
  </si>
  <si>
    <t>Водосток в комплекте с желобами, трубами, крепежом, отводами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</si>
</sst>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44" fontId="2" fillId="2" borderId="4" xfId="1" applyFont="1" applyFill="1" applyBorder="1" applyAlignment="1">
      <alignment vertical="center" wrapText="1"/>
    </xf>
    <xf numFmtId="0" fontId="14" fillId="0" borderId="2" xfId="0" applyFont="1" applyBorder="1" applyAlignment="1" applyProtection="1"/>
    <xf numFmtId="0" fontId="5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44" fontId="16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0;&#1047;%20&#1086;&#1073;&#1097;&#1077;&#1078;&#1080;&#1090;&#1080;&#1077;%203&#1101;&#1090;,%203535&#1084;2%20-%20&#1057;&#1077;&#1074;&#1077;&#1088;&#1085;&#1099;&#1081;%20&#1071;&#1084;&#1072;&#1083;/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Общежитие для вахтового посёлка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  <row r="2">
          <cell r="A2" t="str">
            <v>Утеплитель пенополистирол 100 мм</v>
          </cell>
        </row>
        <row r="3">
          <cell r="A3" t="str">
            <v>Устройство утеплителя</v>
          </cell>
        </row>
        <row r="4">
          <cell r="A4" t="str">
            <v>Щебень</v>
          </cell>
        </row>
        <row r="5">
          <cell r="A5" t="str">
            <v>Устройство щебеночной подготовки</v>
          </cell>
        </row>
        <row r="6">
          <cell r="A6" t="str">
            <v>Бетон В 20</v>
          </cell>
        </row>
        <row r="7">
          <cell r="A7" t="str">
            <v>Устройство полов бетонных</v>
          </cell>
        </row>
        <row r="8">
          <cell r="A8" t="str">
            <v>Армирование конструкций полов</v>
          </cell>
        </row>
        <row r="9">
          <cell r="A9" t="str">
            <v>Арматура</v>
          </cell>
        </row>
        <row r="10">
          <cell r="A10" t="str">
            <v>Монтаж плит перекрытия до 10м2</v>
          </cell>
        </row>
        <row r="11">
          <cell r="A11" t="str">
            <v>Монтаж плит перекрытия до 5м2</v>
          </cell>
        </row>
        <row r="12">
          <cell r="A12" t="str">
            <v>Плита перекрытия ПК 72.12-8АтVт</v>
          </cell>
        </row>
        <row r="13">
          <cell r="A13" t="str">
            <v>Плита перекрытия ПК 30.12-8т</v>
          </cell>
        </row>
        <row r="14">
          <cell r="A14" t="str">
            <v>Устройство выравнивающей стяжки б=20мм</v>
          </cell>
        </row>
        <row r="15">
          <cell r="A15" t="str">
            <v>Приготовление пескобетона В7,5</v>
          </cell>
        </row>
        <row r="16">
          <cell r="A16" t="str">
            <v>Приготовление бетона В15</v>
          </cell>
        </row>
        <row r="17">
          <cell r="A17" t="str">
            <v>Цемент М-600</v>
          </cell>
        </row>
        <row r="18">
          <cell r="A18" t="str">
            <v>Щебень строительный ( фракция 20-40)</v>
          </cell>
        </row>
        <row r="19">
          <cell r="A19" t="str">
            <v>Песок</v>
          </cell>
        </row>
        <row r="20">
          <cell r="A20" t="str">
            <v>Вода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>Устройство утеплителя</v>
          </cell>
        </row>
        <row r="27">
          <cell r="A27" t="str">
            <v>Устройство щебеночной подготовки</v>
          </cell>
        </row>
        <row r="28">
          <cell r="A28" t="str">
            <v>Утеплитель пенополистирол 100 мм</v>
          </cell>
        </row>
        <row r="29">
          <cell r="A29" t="str">
            <v>Щебень</v>
          </cell>
        </row>
        <row r="30">
          <cell r="A30" t="str">
            <v>Плита перекрытия ПК 60.15-8АтVт</v>
          </cell>
        </row>
        <row r="31">
          <cell r="A31" t="str">
            <v>Бетон В 7,5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>-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"/>
  <sheetViews>
    <sheetView tabSelected="1" topLeftCell="C1" zoomScaleNormal="100" workbookViewId="0">
      <pane ySplit="8" topLeftCell="A9" activePane="bottomLeft" state="frozen"/>
      <selection pane="bottomLeft" activeCell="C4" sqref="C4:F4"/>
    </sheetView>
  </sheetViews>
  <sheetFormatPr defaultRowHeight="15" x14ac:dyDescent="0.25"/>
  <cols>
    <col min="1" max="1" width="5.85546875" style="3" customWidth="1"/>
    <col min="2" max="2" width="65.140625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73" t="str">
        <f>C2</f>
        <v>МЗ, ВП, Столовая</v>
      </c>
      <c r="B1" s="73"/>
      <c r="C1" s="74" t="str">
        <f>C3</f>
        <v xml:space="preserve"> ОАО НИКИМТ-Атомстрой</v>
      </c>
      <c r="D1" s="74"/>
      <c r="E1" s="74"/>
      <c r="F1" s="74"/>
    </row>
    <row r="2" spans="1:6" x14ac:dyDescent="0.25">
      <c r="A2" s="39">
        <v>1</v>
      </c>
      <c r="B2" s="40" t="s">
        <v>2</v>
      </c>
      <c r="C2" s="75" t="s">
        <v>135</v>
      </c>
      <c r="D2" s="75"/>
      <c r="E2" s="75"/>
      <c r="F2" s="75"/>
    </row>
    <row r="3" spans="1:6" x14ac:dyDescent="0.25">
      <c r="A3" s="39">
        <v>2</v>
      </c>
      <c r="B3" s="40" t="s">
        <v>0</v>
      </c>
      <c r="C3" s="75" t="s">
        <v>102</v>
      </c>
      <c r="D3" s="75"/>
      <c r="E3" s="75"/>
      <c r="F3" s="75"/>
    </row>
    <row r="4" spans="1:6" ht="14.25" customHeight="1" x14ac:dyDescent="0.25">
      <c r="A4" s="39">
        <v>3</v>
      </c>
      <c r="B4" s="40" t="s">
        <v>1</v>
      </c>
      <c r="C4" s="77" t="s">
        <v>101</v>
      </c>
      <c r="D4" s="78"/>
      <c r="E4" s="78"/>
      <c r="F4" s="79"/>
    </row>
    <row r="5" spans="1:6" ht="15.75" customHeight="1" x14ac:dyDescent="0.25">
      <c r="A5" s="39">
        <v>4</v>
      </c>
      <c r="B5" s="40" t="s">
        <v>27</v>
      </c>
      <c r="C5" s="77" t="s">
        <v>136</v>
      </c>
      <c r="D5" s="78"/>
      <c r="E5" s="78"/>
      <c r="F5" s="79"/>
    </row>
    <row r="6" spans="1:6" ht="17.25" customHeight="1" x14ac:dyDescent="0.25">
      <c r="A6" s="39">
        <v>5</v>
      </c>
      <c r="B6" s="40" t="s">
        <v>29</v>
      </c>
      <c r="C6" s="75" t="s">
        <v>121</v>
      </c>
      <c r="D6" s="75"/>
      <c r="E6" s="43" t="s">
        <v>28</v>
      </c>
      <c r="F6" s="60">
        <f>63*14</f>
        <v>882</v>
      </c>
    </row>
    <row r="7" spans="1:6" x14ac:dyDescent="0.25">
      <c r="A7" s="39">
        <v>6</v>
      </c>
      <c r="B7" s="40" t="s">
        <v>3</v>
      </c>
      <c r="C7" s="77" t="s">
        <v>55</v>
      </c>
      <c r="D7" s="78"/>
      <c r="E7" s="78"/>
      <c r="F7" s="79"/>
    </row>
    <row r="8" spans="1:6" ht="37.5" x14ac:dyDescent="0.25">
      <c r="A8" s="39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39">
        <v>8</v>
      </c>
      <c r="B9" s="5" t="s">
        <v>23</v>
      </c>
      <c r="C9" s="4"/>
      <c r="D9" s="4"/>
      <c r="E9" s="4"/>
      <c r="F9" s="4"/>
    </row>
    <row r="10" spans="1:6" x14ac:dyDescent="0.25">
      <c r="A10" s="39">
        <v>9</v>
      </c>
      <c r="B10" s="6" t="s">
        <v>20</v>
      </c>
      <c r="C10" s="13" t="s">
        <v>21</v>
      </c>
      <c r="D10" s="13">
        <v>64</v>
      </c>
      <c r="E10" s="10">
        <v>170</v>
      </c>
      <c r="F10" s="9">
        <f>D10*E10</f>
        <v>10880</v>
      </c>
    </row>
    <row r="11" spans="1:6" x14ac:dyDescent="0.25">
      <c r="A11" s="39">
        <v>10</v>
      </c>
      <c r="B11" s="6" t="s">
        <v>58</v>
      </c>
      <c r="C11" s="13" t="s">
        <v>60</v>
      </c>
      <c r="D11" s="52">
        <f>141*10.3</f>
        <v>1452.3000000000002</v>
      </c>
      <c r="E11" s="10">
        <v>4000</v>
      </c>
      <c r="F11" s="53">
        <f t="shared" ref="F11:F15" si="0">D11*E11</f>
        <v>5809200.0000000009</v>
      </c>
    </row>
    <row r="12" spans="1:6" x14ac:dyDescent="0.25">
      <c r="A12" s="39">
        <v>11</v>
      </c>
      <c r="B12" s="6" t="s">
        <v>103</v>
      </c>
      <c r="C12" s="13" t="s">
        <v>53</v>
      </c>
      <c r="D12" s="52">
        <v>118.375</v>
      </c>
      <c r="E12" s="10">
        <v>47000</v>
      </c>
      <c r="F12" s="53">
        <f t="shared" si="0"/>
        <v>5563625</v>
      </c>
    </row>
    <row r="13" spans="1:6" ht="15" customHeight="1" x14ac:dyDescent="0.25">
      <c r="A13" s="39">
        <v>12</v>
      </c>
      <c r="B13" s="6" t="s">
        <v>104</v>
      </c>
      <c r="C13" s="13" t="s">
        <v>54</v>
      </c>
      <c r="D13" s="52">
        <f>83.5+109.73</f>
        <v>193.23000000000002</v>
      </c>
      <c r="E13" s="10">
        <v>1500</v>
      </c>
      <c r="F13" s="53">
        <f t="shared" si="0"/>
        <v>289845</v>
      </c>
    </row>
    <row r="14" spans="1:6" x14ac:dyDescent="0.25">
      <c r="A14" s="39">
        <v>13</v>
      </c>
      <c r="B14" s="6" t="s">
        <v>105</v>
      </c>
      <c r="C14" s="13" t="s">
        <v>54</v>
      </c>
      <c r="D14" s="52">
        <v>109.73</v>
      </c>
      <c r="E14" s="10">
        <v>800</v>
      </c>
      <c r="F14" s="53">
        <f t="shared" si="0"/>
        <v>87784</v>
      </c>
    </row>
    <row r="15" spans="1:6" x14ac:dyDescent="0.25">
      <c r="A15" s="39"/>
      <c r="B15" s="6" t="s">
        <v>106</v>
      </c>
      <c r="C15" s="13" t="s">
        <v>54</v>
      </c>
      <c r="D15" s="52">
        <v>83.5</v>
      </c>
      <c r="E15" s="10">
        <v>7500</v>
      </c>
      <c r="F15" s="53">
        <f t="shared" si="0"/>
        <v>626250</v>
      </c>
    </row>
    <row r="16" spans="1:6" x14ac:dyDescent="0.25">
      <c r="A16" s="39">
        <v>14</v>
      </c>
      <c r="B16" s="6" t="s">
        <v>30</v>
      </c>
      <c r="C16" s="13" t="s">
        <v>11</v>
      </c>
      <c r="D16" s="52">
        <f>23.43+0.893</f>
        <v>24.323</v>
      </c>
      <c r="E16" s="10">
        <v>7000</v>
      </c>
      <c r="F16" s="53">
        <f t="shared" ref="F16:F17" si="1">D16*E16</f>
        <v>170261</v>
      </c>
    </row>
    <row r="17" spans="1:7" x14ac:dyDescent="0.25">
      <c r="A17" s="39">
        <v>15</v>
      </c>
      <c r="B17" s="6" t="s">
        <v>107</v>
      </c>
      <c r="C17" s="13" t="s">
        <v>11</v>
      </c>
      <c r="D17" s="52">
        <f>D16</f>
        <v>24.323</v>
      </c>
      <c r="E17" s="10">
        <v>37000</v>
      </c>
      <c r="F17" s="53">
        <f t="shared" si="1"/>
        <v>899951</v>
      </c>
    </row>
    <row r="18" spans="1:7" x14ac:dyDescent="0.25">
      <c r="A18" s="39">
        <v>16</v>
      </c>
      <c r="B18" s="7" t="s">
        <v>4</v>
      </c>
      <c r="C18" s="14"/>
      <c r="D18" s="14"/>
      <c r="E18" s="11"/>
      <c r="F18" s="15">
        <f>SUM(F10:F17)</f>
        <v>13457796</v>
      </c>
      <c r="G18" s="56"/>
    </row>
    <row r="19" spans="1:7" ht="18.75" x14ac:dyDescent="0.25">
      <c r="A19" s="39">
        <v>17</v>
      </c>
      <c r="B19" s="5" t="s">
        <v>19</v>
      </c>
      <c r="C19" s="4"/>
      <c r="D19" s="4"/>
      <c r="E19" s="4"/>
      <c r="F19" s="4"/>
    </row>
    <row r="20" spans="1:7" x14ac:dyDescent="0.25">
      <c r="A20" s="39">
        <v>18</v>
      </c>
      <c r="B20" s="6" t="s">
        <v>31</v>
      </c>
      <c r="C20" s="13" t="s">
        <v>33</v>
      </c>
      <c r="D20" s="13">
        <v>42</v>
      </c>
      <c r="E20" s="10">
        <v>2000</v>
      </c>
      <c r="F20" s="9">
        <f>D20*E20</f>
        <v>84000</v>
      </c>
    </row>
    <row r="21" spans="1:7" x14ac:dyDescent="0.25">
      <c r="A21" s="39">
        <v>19</v>
      </c>
      <c r="B21" s="6" t="s">
        <v>32</v>
      </c>
      <c r="C21" s="13" t="s">
        <v>33</v>
      </c>
      <c r="D21" s="13">
        <v>42</v>
      </c>
      <c r="E21" s="10">
        <v>2000</v>
      </c>
      <c r="F21" s="9">
        <f>D21*E21</f>
        <v>84000</v>
      </c>
    </row>
    <row r="22" spans="1:7" x14ac:dyDescent="0.25">
      <c r="A22" s="39"/>
      <c r="B22" s="6" t="s">
        <v>108</v>
      </c>
      <c r="C22" s="13" t="s">
        <v>33</v>
      </c>
      <c r="D22" s="13">
        <v>0</v>
      </c>
      <c r="E22" s="10">
        <v>3000</v>
      </c>
      <c r="F22" s="9">
        <f t="shared" ref="F22" si="2">D22*E22</f>
        <v>0</v>
      </c>
    </row>
    <row r="23" spans="1:7" x14ac:dyDescent="0.25">
      <c r="A23" s="39">
        <v>20</v>
      </c>
      <c r="B23" s="6" t="s">
        <v>122</v>
      </c>
      <c r="C23" s="13" t="s">
        <v>33</v>
      </c>
      <c r="D23" s="13">
        <v>4</v>
      </c>
      <c r="E23" s="62">
        <v>148954</v>
      </c>
      <c r="F23" s="9">
        <f t="shared" ref="F23:F27" si="3">D23*E23</f>
        <v>595816</v>
      </c>
    </row>
    <row r="24" spans="1:7" x14ac:dyDescent="0.25">
      <c r="A24" s="39">
        <v>21</v>
      </c>
      <c r="B24" s="6" t="s">
        <v>123</v>
      </c>
      <c r="C24" s="13" t="s">
        <v>33</v>
      </c>
      <c r="D24" s="13">
        <v>37</v>
      </c>
      <c r="E24" s="62">
        <v>132403</v>
      </c>
      <c r="F24" s="9">
        <f t="shared" si="3"/>
        <v>4898911</v>
      </c>
    </row>
    <row r="25" spans="1:7" x14ac:dyDescent="0.25">
      <c r="A25" s="39">
        <v>22</v>
      </c>
      <c r="B25" s="6" t="s">
        <v>124</v>
      </c>
      <c r="C25" s="13" t="s">
        <v>12</v>
      </c>
      <c r="D25" s="54">
        <f>60*2</f>
        <v>120</v>
      </c>
      <c r="E25" s="10">
        <v>3100</v>
      </c>
      <c r="F25" s="9">
        <f t="shared" si="3"/>
        <v>372000</v>
      </c>
    </row>
    <row r="26" spans="1:7" x14ac:dyDescent="0.25">
      <c r="A26" s="39">
        <v>23</v>
      </c>
      <c r="B26" s="6" t="s">
        <v>125</v>
      </c>
      <c r="C26" s="13" t="s">
        <v>12</v>
      </c>
      <c r="D26" s="54">
        <f>D25</f>
        <v>120</v>
      </c>
      <c r="E26" s="10">
        <v>2650</v>
      </c>
      <c r="F26" s="9">
        <f t="shared" si="3"/>
        <v>318000</v>
      </c>
    </row>
    <row r="27" spans="1:7" x14ac:dyDescent="0.25">
      <c r="A27" s="39">
        <v>24</v>
      </c>
      <c r="B27" s="6" t="s">
        <v>59</v>
      </c>
      <c r="C27" s="13" t="s">
        <v>12</v>
      </c>
      <c r="D27" s="54">
        <f>(14*2+63*2)*0.7</f>
        <v>107.8</v>
      </c>
      <c r="E27" s="10">
        <v>600</v>
      </c>
      <c r="F27" s="9">
        <f t="shared" si="3"/>
        <v>64680</v>
      </c>
    </row>
    <row r="28" spans="1:7" x14ac:dyDescent="0.25">
      <c r="A28" s="39">
        <v>25</v>
      </c>
      <c r="B28" s="7" t="s">
        <v>4</v>
      </c>
      <c r="C28" s="14"/>
      <c r="D28" s="14"/>
      <c r="E28" s="11"/>
      <c r="F28" s="15">
        <f>SUM(F20:F24)</f>
        <v>5662727</v>
      </c>
    </row>
    <row r="29" spans="1:7" ht="15.75" x14ac:dyDescent="0.25">
      <c r="A29" s="39">
        <v>26</v>
      </c>
      <c r="B29" s="5" t="s">
        <v>79</v>
      </c>
      <c r="C29" s="12"/>
      <c r="D29" s="12"/>
      <c r="E29" s="8"/>
      <c r="F29" s="9"/>
    </row>
    <row r="30" spans="1:7" x14ac:dyDescent="0.25">
      <c r="A30" s="39">
        <v>27</v>
      </c>
      <c r="B30" s="6" t="s">
        <v>34</v>
      </c>
      <c r="C30" s="13" t="str">
        <f>VLOOKUP(B30,[3]Кровля!Прайс,2,FALSE)</f>
        <v>тн</v>
      </c>
      <c r="D30" s="54">
        <f>0.015*F6</f>
        <v>13.229999999999999</v>
      </c>
      <c r="E30" s="10">
        <v>42000</v>
      </c>
      <c r="F30" s="9">
        <f>D30*E30</f>
        <v>555660</v>
      </c>
    </row>
    <row r="31" spans="1:7" x14ac:dyDescent="0.25">
      <c r="A31" s="39">
        <v>28</v>
      </c>
      <c r="B31" s="6" t="s">
        <v>61</v>
      </c>
      <c r="C31" s="13" t="str">
        <f>VLOOKUP(B31,[3]Кровля!Прайс,2,FALSE)</f>
        <v>м2</v>
      </c>
      <c r="D31" s="54">
        <f>1.1*F6</f>
        <v>970.2</v>
      </c>
      <c r="E31" s="10">
        <v>370</v>
      </c>
      <c r="F31" s="9">
        <f t="shared" ref="F31:F43" si="4">D31*E31</f>
        <v>358974</v>
      </c>
    </row>
    <row r="32" spans="1:7" x14ac:dyDescent="0.25">
      <c r="A32" s="39">
        <v>29</v>
      </c>
      <c r="B32" s="6" t="s">
        <v>149</v>
      </c>
      <c r="C32" s="13" t="str">
        <f>VLOOKUP(B32,[3]Кровля!Прайс,2,FALSE)</f>
        <v>м3</v>
      </c>
      <c r="D32" s="54">
        <f>D31*0.04/4</f>
        <v>9.702</v>
      </c>
      <c r="E32" s="10">
        <v>6500</v>
      </c>
      <c r="F32" s="9">
        <f t="shared" si="4"/>
        <v>63063</v>
      </c>
    </row>
    <row r="33" spans="1:7" x14ac:dyDescent="0.25">
      <c r="A33" s="39">
        <v>30</v>
      </c>
      <c r="B33" s="6" t="s">
        <v>35</v>
      </c>
      <c r="C33" s="13" t="str">
        <f>VLOOKUP(B33,[3]Кровля!Прайс,2,FALSE)</f>
        <v>тн</v>
      </c>
      <c r="D33" s="54">
        <f>D30</f>
        <v>13.229999999999999</v>
      </c>
      <c r="E33" s="10">
        <v>7000</v>
      </c>
      <c r="F33" s="9">
        <f t="shared" si="4"/>
        <v>92609.999999999985</v>
      </c>
    </row>
    <row r="34" spans="1:7" x14ac:dyDescent="0.25">
      <c r="A34" s="39">
        <v>31</v>
      </c>
      <c r="B34" s="6" t="s">
        <v>150</v>
      </c>
      <c r="C34" s="13" t="str">
        <f>VLOOKUP(B34,[3]Кровля!Прайс,2,FALSE)</f>
        <v>м2</v>
      </c>
      <c r="D34" s="54">
        <f>D31</f>
        <v>970.2</v>
      </c>
      <c r="E34" s="10">
        <v>250</v>
      </c>
      <c r="F34" s="9">
        <f t="shared" si="4"/>
        <v>242550</v>
      </c>
    </row>
    <row r="35" spans="1:7" x14ac:dyDescent="0.25">
      <c r="A35" s="39">
        <v>32</v>
      </c>
      <c r="B35" s="6" t="s">
        <v>36</v>
      </c>
      <c r="C35" s="13" t="str">
        <f>VLOOKUP(B35,[3]Кровля!Прайс,2,FALSE)</f>
        <v>м</v>
      </c>
      <c r="D35" s="54">
        <v>127</v>
      </c>
      <c r="E35" s="10">
        <f>E36*40%</f>
        <v>260</v>
      </c>
      <c r="F35" s="9">
        <f t="shared" si="4"/>
        <v>33020</v>
      </c>
    </row>
    <row r="36" spans="1:7" x14ac:dyDescent="0.25">
      <c r="A36" s="39">
        <v>33</v>
      </c>
      <c r="B36" s="6" t="s">
        <v>151</v>
      </c>
      <c r="C36" s="13" t="s">
        <v>60</v>
      </c>
      <c r="D36" s="54">
        <v>127</v>
      </c>
      <c r="E36" s="10">
        <v>650</v>
      </c>
      <c r="F36" s="9">
        <f>D36*E36</f>
        <v>82550</v>
      </c>
    </row>
    <row r="37" spans="1:7" x14ac:dyDescent="0.25">
      <c r="A37" s="39">
        <v>34</v>
      </c>
      <c r="B37" s="6" t="s">
        <v>37</v>
      </c>
      <c r="C37" s="13" t="str">
        <f>VLOOKUP(B37,[1]Кровля!Прайс,2,FALSE)</f>
        <v>шт</v>
      </c>
      <c r="D37" s="54">
        <v>18</v>
      </c>
      <c r="E37" s="10">
        <v>250</v>
      </c>
      <c r="F37" s="9">
        <f t="shared" si="4"/>
        <v>4500</v>
      </c>
    </row>
    <row r="38" spans="1:7" x14ac:dyDescent="0.25">
      <c r="A38" s="39">
        <v>35</v>
      </c>
      <c r="B38" s="6" t="s">
        <v>38</v>
      </c>
      <c r="C38" s="13" t="str">
        <f>VLOOKUP(B38,[1]Кровля!Прайс,2,FALSE)</f>
        <v>шт</v>
      </c>
      <c r="D38" s="54">
        <f>D37</f>
        <v>18</v>
      </c>
      <c r="E38" s="10">
        <v>360</v>
      </c>
      <c r="F38" s="9">
        <f t="shared" si="4"/>
        <v>6480</v>
      </c>
    </row>
    <row r="39" spans="1:7" x14ac:dyDescent="0.25">
      <c r="A39" s="39">
        <v>36</v>
      </c>
      <c r="B39" s="6" t="s">
        <v>39</v>
      </c>
      <c r="C39" s="13" t="str">
        <f>VLOOKUP(B39,[1]Кровля!Прайс,2,FALSE)</f>
        <v>м</v>
      </c>
      <c r="D39" s="54">
        <v>63.5</v>
      </c>
      <c r="E39" s="10">
        <v>120</v>
      </c>
      <c r="F39" s="9">
        <f t="shared" si="4"/>
        <v>7620</v>
      </c>
    </row>
    <row r="40" spans="1:7" x14ac:dyDescent="0.25">
      <c r="A40" s="39">
        <v>37</v>
      </c>
      <c r="B40" s="6" t="s">
        <v>40</v>
      </c>
      <c r="C40" s="13" t="s">
        <v>12</v>
      </c>
      <c r="D40" s="54">
        <f>D39*0.4</f>
        <v>25.400000000000002</v>
      </c>
      <c r="E40" s="10">
        <v>480</v>
      </c>
      <c r="F40" s="9">
        <f t="shared" si="4"/>
        <v>12192.000000000002</v>
      </c>
    </row>
    <row r="41" spans="1:7" x14ac:dyDescent="0.25">
      <c r="A41" s="39">
        <v>38</v>
      </c>
      <c r="B41" s="6" t="s">
        <v>41</v>
      </c>
      <c r="C41" s="13" t="str">
        <f>VLOOKUP(B41,[1]Кровля!Прайс,2,FALSE)</f>
        <v>м2</v>
      </c>
      <c r="D41" s="54">
        <f>D39*2*0.8</f>
        <v>101.60000000000001</v>
      </c>
      <c r="E41" s="10">
        <v>180</v>
      </c>
      <c r="F41" s="9">
        <f t="shared" si="4"/>
        <v>18288</v>
      </c>
    </row>
    <row r="42" spans="1:7" x14ac:dyDescent="0.25">
      <c r="A42" s="39">
        <v>39</v>
      </c>
      <c r="B42" s="6" t="s">
        <v>42</v>
      </c>
      <c r="C42" s="13" t="str">
        <f>VLOOKUP(B42,[1]Кровля!Прайс,2,FALSE)</f>
        <v>м2</v>
      </c>
      <c r="D42" s="54">
        <f>D41</f>
        <v>101.60000000000001</v>
      </c>
      <c r="E42" s="10">
        <v>353</v>
      </c>
      <c r="F42" s="9">
        <f t="shared" si="4"/>
        <v>35864.800000000003</v>
      </c>
    </row>
    <row r="43" spans="1:7" x14ac:dyDescent="0.25">
      <c r="A43" s="39">
        <v>40</v>
      </c>
      <c r="B43" s="6" t="s">
        <v>43</v>
      </c>
      <c r="C43" s="13" t="str">
        <f>VLOOKUP(B43,[1]Кровля!Прайс,2,FALSE)</f>
        <v>компл</v>
      </c>
      <c r="D43" s="54">
        <f>D31</f>
        <v>970.2</v>
      </c>
      <c r="E43" s="10">
        <v>75</v>
      </c>
      <c r="F43" s="9">
        <f t="shared" si="4"/>
        <v>72765</v>
      </c>
    </row>
    <row r="44" spans="1:7" x14ac:dyDescent="0.25">
      <c r="A44" s="39">
        <v>41</v>
      </c>
      <c r="B44" s="7" t="s">
        <v>4</v>
      </c>
      <c r="C44" s="14"/>
      <c r="D44" s="14"/>
      <c r="E44" s="11"/>
      <c r="F44" s="15">
        <f>SUM(F30:F43)</f>
        <v>1586136.8</v>
      </c>
      <c r="G44" s="56"/>
    </row>
    <row r="45" spans="1:7" ht="30" customHeight="1" x14ac:dyDescent="0.25">
      <c r="A45" s="39">
        <v>42</v>
      </c>
      <c r="B45" s="5" t="s">
        <v>80</v>
      </c>
      <c r="C45" s="12"/>
      <c r="D45" s="12"/>
      <c r="E45" s="8"/>
      <c r="F45" s="9"/>
    </row>
    <row r="46" spans="1:7" x14ac:dyDescent="0.25">
      <c r="A46" s="39">
        <v>43</v>
      </c>
      <c r="B46" s="6" t="s">
        <v>62</v>
      </c>
      <c r="C46" s="13" t="s">
        <v>13</v>
      </c>
      <c r="D46" s="13">
        <v>34</v>
      </c>
      <c r="E46" s="10">
        <v>5000</v>
      </c>
      <c r="F46" s="9">
        <f t="shared" ref="F46:F49" si="5">D46*E46</f>
        <v>170000</v>
      </c>
    </row>
    <row r="47" spans="1:7" x14ac:dyDescent="0.25">
      <c r="A47" s="39">
        <v>44</v>
      </c>
      <c r="B47" s="6" t="s">
        <v>109</v>
      </c>
      <c r="C47" s="13" t="s">
        <v>13</v>
      </c>
      <c r="D47" s="13">
        <v>10</v>
      </c>
      <c r="E47" s="10">
        <v>8500</v>
      </c>
      <c r="F47" s="9">
        <f t="shared" si="5"/>
        <v>85000</v>
      </c>
    </row>
    <row r="48" spans="1:7" x14ac:dyDescent="0.25">
      <c r="A48" s="39">
        <v>45</v>
      </c>
      <c r="B48" s="6" t="s">
        <v>110</v>
      </c>
      <c r="C48" s="13" t="s">
        <v>13</v>
      </c>
      <c r="D48" s="13">
        <v>1</v>
      </c>
      <c r="E48" s="10">
        <v>13500</v>
      </c>
      <c r="F48" s="9">
        <f t="shared" si="5"/>
        <v>13500</v>
      </c>
    </row>
    <row r="49" spans="1:7" x14ac:dyDescent="0.25">
      <c r="A49" s="39">
        <v>46</v>
      </c>
      <c r="B49" s="6" t="s">
        <v>111</v>
      </c>
      <c r="C49" s="13" t="s">
        <v>13</v>
      </c>
      <c r="D49" s="13">
        <v>4</v>
      </c>
      <c r="E49" s="10">
        <v>18500</v>
      </c>
      <c r="F49" s="9">
        <f t="shared" si="5"/>
        <v>74000</v>
      </c>
    </row>
    <row r="50" spans="1:7" x14ac:dyDescent="0.25">
      <c r="A50" s="39">
        <v>47</v>
      </c>
      <c r="B50" s="6" t="s">
        <v>112</v>
      </c>
      <c r="C50" s="13" t="s">
        <v>13</v>
      </c>
      <c r="D50" s="13">
        <v>49</v>
      </c>
      <c r="E50" s="10">
        <v>1000</v>
      </c>
      <c r="F50" s="9">
        <f t="shared" ref="F50" si="6">D50*E50</f>
        <v>49000</v>
      </c>
    </row>
    <row r="51" spans="1:7" x14ac:dyDescent="0.25">
      <c r="A51" s="39">
        <v>48</v>
      </c>
      <c r="B51" s="7" t="s">
        <v>4</v>
      </c>
      <c r="C51" s="14"/>
      <c r="D51" s="14"/>
      <c r="E51" s="11"/>
      <c r="F51" s="15">
        <f>SUM(F46:F50)</f>
        <v>391500</v>
      </c>
      <c r="G51" s="56"/>
    </row>
    <row r="52" spans="1:7" ht="15.75" x14ac:dyDescent="0.25">
      <c r="A52" s="39">
        <v>49</v>
      </c>
      <c r="B52" s="5" t="s">
        <v>81</v>
      </c>
      <c r="C52" s="12"/>
      <c r="D52" s="12"/>
      <c r="E52" s="8"/>
      <c r="F52" s="9"/>
    </row>
    <row r="53" spans="1:7" x14ac:dyDescent="0.25">
      <c r="A53" s="39">
        <v>50</v>
      </c>
      <c r="B53" s="6" t="s">
        <v>16</v>
      </c>
      <c r="C53" s="13" t="s">
        <v>12</v>
      </c>
      <c r="D53" s="54">
        <f>D54</f>
        <v>748.80000000000007</v>
      </c>
      <c r="E53" s="10">
        <v>120</v>
      </c>
      <c r="F53" s="9">
        <f>D53*E53</f>
        <v>89856.000000000015</v>
      </c>
    </row>
    <row r="54" spans="1:7" x14ac:dyDescent="0.25">
      <c r="A54" s="39">
        <v>51</v>
      </c>
      <c r="B54" s="6" t="s">
        <v>15</v>
      </c>
      <c r="C54" s="13" t="s">
        <v>12</v>
      </c>
      <c r="D54" s="54">
        <f>(28*6+60*2)*2.6</f>
        <v>748.80000000000007</v>
      </c>
      <c r="E54" s="10">
        <v>1100</v>
      </c>
      <c r="F54" s="9">
        <f>D54*E54</f>
        <v>823680.00000000012</v>
      </c>
    </row>
    <row r="55" spans="1:7" x14ac:dyDescent="0.25">
      <c r="A55" s="39">
        <v>52</v>
      </c>
      <c r="B55" s="7" t="s">
        <v>4</v>
      </c>
      <c r="C55" s="14"/>
      <c r="D55" s="14"/>
      <c r="E55" s="11"/>
      <c r="F55" s="15">
        <f>SUM(F53:F54)</f>
        <v>913536.00000000012</v>
      </c>
    </row>
    <row r="56" spans="1:7" ht="15.75" x14ac:dyDescent="0.25">
      <c r="A56" s="39">
        <v>53</v>
      </c>
      <c r="B56" s="5" t="s">
        <v>82</v>
      </c>
      <c r="C56" s="12"/>
      <c r="D56" s="12"/>
      <c r="E56" s="8"/>
      <c r="F56" s="9"/>
    </row>
    <row r="57" spans="1:7" x14ac:dyDescent="0.25">
      <c r="A57" s="39">
        <v>54</v>
      </c>
      <c r="B57" s="19" t="s">
        <v>24</v>
      </c>
      <c r="C57" s="13"/>
      <c r="D57" s="13"/>
      <c r="E57" s="10"/>
      <c r="F57" s="9"/>
    </row>
    <row r="58" spans="1:7" x14ac:dyDescent="0.25">
      <c r="A58" s="39">
        <v>55</v>
      </c>
      <c r="B58" s="6" t="s">
        <v>50</v>
      </c>
      <c r="C58" s="13" t="s">
        <v>12</v>
      </c>
      <c r="D58" s="54">
        <f>D59+D60</f>
        <v>578</v>
      </c>
      <c r="E58" s="10">
        <v>150</v>
      </c>
      <c r="F58" s="9">
        <f>D58*E58</f>
        <v>86700</v>
      </c>
    </row>
    <row r="59" spans="1:7" x14ac:dyDescent="0.25">
      <c r="A59" s="39">
        <v>56</v>
      </c>
      <c r="B59" s="6" t="s">
        <v>63</v>
      </c>
      <c r="C59" s="13" t="s">
        <v>12</v>
      </c>
      <c r="D59" s="13">
        <v>65</v>
      </c>
      <c r="E59" s="10">
        <v>180</v>
      </c>
      <c r="F59" s="9">
        <f t="shared" ref="F59" si="7">D59*E59</f>
        <v>11700</v>
      </c>
    </row>
    <row r="60" spans="1:7" x14ac:dyDescent="0.25">
      <c r="A60" s="39">
        <v>57</v>
      </c>
      <c r="B60" s="6" t="s">
        <v>64</v>
      </c>
      <c r="C60" s="13" t="s">
        <v>12</v>
      </c>
      <c r="D60" s="54">
        <f>300+65+86+62</f>
        <v>513</v>
      </c>
      <c r="E60" s="10">
        <v>250</v>
      </c>
      <c r="F60" s="9">
        <f t="shared" ref="F60:F65" si="8">D60*E60</f>
        <v>128250</v>
      </c>
    </row>
    <row r="61" spans="1:7" ht="30" x14ac:dyDescent="0.25">
      <c r="A61" s="39">
        <v>58</v>
      </c>
      <c r="B61" s="6" t="s">
        <v>49</v>
      </c>
      <c r="C61" s="13" t="s">
        <v>12</v>
      </c>
      <c r="D61" s="54">
        <f>D58</f>
        <v>578</v>
      </c>
      <c r="E61" s="10">
        <v>75</v>
      </c>
      <c r="F61" s="9">
        <f t="shared" si="8"/>
        <v>43350</v>
      </c>
    </row>
    <row r="62" spans="1:7" x14ac:dyDescent="0.25">
      <c r="A62" s="39"/>
      <c r="B62" s="6" t="s">
        <v>138</v>
      </c>
      <c r="C62" s="13" t="s">
        <v>12</v>
      </c>
      <c r="D62" s="13">
        <v>930</v>
      </c>
      <c r="E62" s="10">
        <v>550</v>
      </c>
      <c r="F62" s="9">
        <f t="shared" si="8"/>
        <v>511500</v>
      </c>
    </row>
    <row r="63" spans="1:7" x14ac:dyDescent="0.25">
      <c r="A63" s="39"/>
      <c r="B63" s="6" t="s">
        <v>137</v>
      </c>
      <c r="C63" s="13" t="s">
        <v>12</v>
      </c>
      <c r="D63" s="13">
        <f>D62</f>
        <v>930</v>
      </c>
      <c r="E63" s="10">
        <v>599</v>
      </c>
      <c r="F63" s="9">
        <f t="shared" si="8"/>
        <v>557070</v>
      </c>
    </row>
    <row r="64" spans="1:7" x14ac:dyDescent="0.25">
      <c r="A64" s="39"/>
      <c r="B64" s="6" t="s">
        <v>44</v>
      </c>
      <c r="C64" s="13" t="s">
        <v>51</v>
      </c>
      <c r="D64" s="13">
        <f>D62*5</f>
        <v>4650</v>
      </c>
      <c r="E64" s="10">
        <v>11.7</v>
      </c>
      <c r="F64" s="9">
        <f t="shared" si="8"/>
        <v>54405</v>
      </c>
    </row>
    <row r="65" spans="1:7" x14ac:dyDescent="0.25">
      <c r="A65" s="39">
        <v>59</v>
      </c>
      <c r="B65" s="19" t="s">
        <v>22</v>
      </c>
      <c r="C65" s="13"/>
      <c r="D65" s="13"/>
      <c r="E65" s="10"/>
      <c r="F65" s="9">
        <f t="shared" si="8"/>
        <v>0</v>
      </c>
    </row>
    <row r="66" spans="1:7" x14ac:dyDescent="0.25">
      <c r="A66" s="39">
        <v>60</v>
      </c>
      <c r="B66" s="6" t="s">
        <v>65</v>
      </c>
      <c r="C66" s="13" t="s">
        <v>12</v>
      </c>
      <c r="D66" s="13">
        <v>24</v>
      </c>
      <c r="E66" s="10">
        <v>100</v>
      </c>
      <c r="F66" s="9">
        <f>D66*E66</f>
        <v>2400</v>
      </c>
    </row>
    <row r="67" spans="1:7" x14ac:dyDescent="0.25">
      <c r="A67" s="39">
        <v>61</v>
      </c>
      <c r="B67" s="6" t="s">
        <v>66</v>
      </c>
      <c r="C67" s="13" t="s">
        <v>12</v>
      </c>
      <c r="D67" s="13">
        <v>24</v>
      </c>
      <c r="E67" s="10">
        <v>350</v>
      </c>
      <c r="F67" s="9">
        <f>D67*E67</f>
        <v>8400</v>
      </c>
    </row>
    <row r="68" spans="1:7" x14ac:dyDescent="0.25">
      <c r="A68" s="39">
        <v>62</v>
      </c>
      <c r="B68" s="6" t="s">
        <v>67</v>
      </c>
      <c r="C68" s="13" t="s">
        <v>12</v>
      </c>
      <c r="D68" s="13">
        <v>32</v>
      </c>
      <c r="E68" s="10">
        <v>360</v>
      </c>
      <c r="F68" s="9">
        <f t="shared" ref="F68:F69" si="9">D68*E68</f>
        <v>11520</v>
      </c>
    </row>
    <row r="69" spans="1:7" x14ac:dyDescent="0.25">
      <c r="A69" s="39">
        <v>63</v>
      </c>
      <c r="B69" s="6" t="s">
        <v>68</v>
      </c>
      <c r="C69" s="13" t="s">
        <v>12</v>
      </c>
      <c r="D69" s="13">
        <f>D68</f>
        <v>32</v>
      </c>
      <c r="E69" s="10">
        <v>635.85</v>
      </c>
      <c r="F69" s="9">
        <f t="shared" si="9"/>
        <v>20347.2</v>
      </c>
    </row>
    <row r="70" spans="1:7" x14ac:dyDescent="0.25">
      <c r="A70" s="39">
        <v>64</v>
      </c>
      <c r="B70" s="6" t="s">
        <v>127</v>
      </c>
      <c r="C70" s="13" t="s">
        <v>12</v>
      </c>
      <c r="D70" s="13">
        <f>685+19+11.21</f>
        <v>715.21</v>
      </c>
      <c r="E70" s="10">
        <v>450</v>
      </c>
      <c r="F70" s="9">
        <f t="shared" ref="F70:F73" si="10">D70*E70</f>
        <v>321844.5</v>
      </c>
    </row>
    <row r="71" spans="1:7" x14ac:dyDescent="0.25">
      <c r="A71" s="39">
        <v>65</v>
      </c>
      <c r="B71" s="6" t="s">
        <v>52</v>
      </c>
      <c r="C71" s="13" t="s">
        <v>12</v>
      </c>
      <c r="D71" s="13">
        <v>12</v>
      </c>
      <c r="E71" s="10">
        <v>599</v>
      </c>
      <c r="F71" s="9">
        <f t="shared" si="10"/>
        <v>7188</v>
      </c>
    </row>
    <row r="72" spans="1:7" x14ac:dyDescent="0.25">
      <c r="A72" s="39"/>
      <c r="B72" s="6" t="s">
        <v>113</v>
      </c>
      <c r="C72" s="13" t="s">
        <v>12</v>
      </c>
      <c r="D72" s="13">
        <f>645+65</f>
        <v>710</v>
      </c>
      <c r="E72" s="10">
        <v>650</v>
      </c>
      <c r="F72" s="9">
        <f t="shared" si="10"/>
        <v>461500</v>
      </c>
    </row>
    <row r="73" spans="1:7" x14ac:dyDescent="0.25">
      <c r="A73" s="39">
        <v>66</v>
      </c>
      <c r="B73" s="6" t="s">
        <v>44</v>
      </c>
      <c r="C73" s="13" t="s">
        <v>51</v>
      </c>
      <c r="D73" s="13">
        <f>D70*5</f>
        <v>3576.05</v>
      </c>
      <c r="E73" s="10">
        <v>11.7</v>
      </c>
      <c r="F73" s="9">
        <f t="shared" si="10"/>
        <v>41839.784999999996</v>
      </c>
    </row>
    <row r="74" spans="1:7" ht="15.75" x14ac:dyDescent="0.25">
      <c r="A74" s="39">
        <v>67</v>
      </c>
      <c r="B74" s="19" t="s">
        <v>25</v>
      </c>
      <c r="C74" s="12"/>
      <c r="D74" s="12"/>
      <c r="E74" s="8"/>
      <c r="F74" s="9"/>
    </row>
    <row r="75" spans="1:7" ht="18" customHeight="1" x14ac:dyDescent="0.25">
      <c r="A75" s="39">
        <v>68</v>
      </c>
      <c r="B75" s="6" t="s">
        <v>45</v>
      </c>
      <c r="C75" s="13" t="s">
        <v>12</v>
      </c>
      <c r="D75" s="13">
        <f>D76+D77+D78+D79</f>
        <v>771.20999999999992</v>
      </c>
      <c r="E75" s="10">
        <v>180</v>
      </c>
      <c r="F75" s="9">
        <f t="shared" ref="F75:F79" si="11">D75*E75</f>
        <v>138817.79999999999</v>
      </c>
    </row>
    <row r="76" spans="1:7" ht="18" customHeight="1" x14ac:dyDescent="0.25">
      <c r="A76" s="39"/>
      <c r="B76" s="6" t="s">
        <v>140</v>
      </c>
      <c r="C76" s="13" t="s">
        <v>12</v>
      </c>
      <c r="D76" s="13">
        <f>10.03+8.25+5.2+55.84+95.04+14.55+117.68+15.68+15.68</f>
        <v>337.95000000000005</v>
      </c>
      <c r="E76" s="10">
        <v>360</v>
      </c>
      <c r="F76" s="9">
        <f t="shared" si="11"/>
        <v>121662.00000000001</v>
      </c>
    </row>
    <row r="77" spans="1:7" ht="18" customHeight="1" x14ac:dyDescent="0.25">
      <c r="A77" s="39"/>
      <c r="B77" s="6" t="s">
        <v>141</v>
      </c>
      <c r="C77" s="13" t="s">
        <v>12</v>
      </c>
      <c r="D77" s="13">
        <f>2.95+4.13+4.13</f>
        <v>11.21</v>
      </c>
      <c r="E77" s="10">
        <v>480</v>
      </c>
      <c r="F77" s="9">
        <f t="shared" si="11"/>
        <v>5380.8</v>
      </c>
    </row>
    <row r="78" spans="1:7" ht="18" customHeight="1" x14ac:dyDescent="0.25">
      <c r="A78" s="39"/>
      <c r="B78" s="6" t="s">
        <v>139</v>
      </c>
      <c r="C78" s="13" t="s">
        <v>12</v>
      </c>
      <c r="D78" s="13">
        <f>16.23+5.74</f>
        <v>21.97</v>
      </c>
      <c r="E78" s="10">
        <v>255</v>
      </c>
      <c r="F78" s="9">
        <f t="shared" si="11"/>
        <v>5602.3499999999995</v>
      </c>
    </row>
    <row r="79" spans="1:7" x14ac:dyDescent="0.25">
      <c r="A79" s="39">
        <v>69</v>
      </c>
      <c r="B79" s="6" t="s">
        <v>142</v>
      </c>
      <c r="C79" s="13" t="s">
        <v>12</v>
      </c>
      <c r="D79" s="13">
        <f>D66+D68+D70-D78-D77-D76</f>
        <v>400.07999999999993</v>
      </c>
      <c r="E79" s="10">
        <v>710</v>
      </c>
      <c r="F79" s="9">
        <f t="shared" si="11"/>
        <v>284056.79999999993</v>
      </c>
    </row>
    <row r="80" spans="1:7" x14ac:dyDescent="0.25">
      <c r="A80" s="39">
        <v>70</v>
      </c>
      <c r="B80" s="7" t="s">
        <v>4</v>
      </c>
      <c r="C80" s="14"/>
      <c r="D80" s="14"/>
      <c r="E80" s="11"/>
      <c r="F80" s="15">
        <f>SUM(F57:F79)</f>
        <v>2823534.2349999999</v>
      </c>
      <c r="G80" s="56"/>
    </row>
    <row r="81" spans="1:7" ht="15.75" x14ac:dyDescent="0.25">
      <c r="A81" s="39">
        <v>71</v>
      </c>
      <c r="B81" s="5" t="s">
        <v>115</v>
      </c>
      <c r="C81" s="57"/>
      <c r="D81" s="57"/>
      <c r="E81" s="58"/>
      <c r="F81" s="59"/>
    </row>
    <row r="82" spans="1:7" x14ac:dyDescent="0.25">
      <c r="A82" s="39">
        <v>72</v>
      </c>
      <c r="B82" s="6" t="s">
        <v>47</v>
      </c>
      <c r="C82" s="13" t="s">
        <v>53</v>
      </c>
      <c r="D82" s="13">
        <f>D83+D84+D85</f>
        <v>4.3</v>
      </c>
      <c r="E82" s="10">
        <v>9000</v>
      </c>
      <c r="F82" s="9">
        <f t="shared" ref="F82:F83" si="12">D82*E82</f>
        <v>38700</v>
      </c>
    </row>
    <row r="83" spans="1:7" x14ac:dyDescent="0.25">
      <c r="A83" s="39"/>
      <c r="B83" s="6" t="s">
        <v>143</v>
      </c>
      <c r="C83" s="13" t="s">
        <v>53</v>
      </c>
      <c r="D83" s="13">
        <f>0.7*4</f>
        <v>2.8</v>
      </c>
      <c r="E83" s="10">
        <v>77000</v>
      </c>
      <c r="F83" s="9">
        <f t="shared" si="12"/>
        <v>215600</v>
      </c>
    </row>
    <row r="84" spans="1:7" x14ac:dyDescent="0.25">
      <c r="A84" s="39"/>
      <c r="B84" s="6" t="s">
        <v>114</v>
      </c>
      <c r="C84" s="13" t="s">
        <v>53</v>
      </c>
      <c r="D84" s="13">
        <v>1.5</v>
      </c>
      <c r="E84" s="10">
        <v>77000</v>
      </c>
      <c r="F84" s="9">
        <f>D84*E84</f>
        <v>115500</v>
      </c>
    </row>
    <row r="85" spans="1:7" x14ac:dyDescent="0.25">
      <c r="A85" s="39">
        <v>73</v>
      </c>
      <c r="B85" s="6"/>
      <c r="C85" s="13"/>
      <c r="D85" s="13"/>
      <c r="E85" s="10"/>
      <c r="F85" s="9"/>
    </row>
    <row r="86" spans="1:7" x14ac:dyDescent="0.25">
      <c r="A86" s="39">
        <v>74</v>
      </c>
      <c r="B86" s="7" t="s">
        <v>4</v>
      </c>
      <c r="C86" s="13"/>
      <c r="D86" s="14"/>
      <c r="E86" s="11"/>
      <c r="F86" s="15">
        <f>SUM(F82:F85)</f>
        <v>369800</v>
      </c>
      <c r="G86" s="56"/>
    </row>
    <row r="87" spans="1:7" ht="15.75" x14ac:dyDescent="0.25">
      <c r="A87" s="39">
        <v>75</v>
      </c>
      <c r="B87" s="24" t="s">
        <v>14</v>
      </c>
      <c r="C87" s="25"/>
      <c r="D87" s="25"/>
      <c r="E87" s="26"/>
      <c r="F87" s="27">
        <f>SUM(F10:F86)/2</f>
        <v>25582370.034999993</v>
      </c>
    </row>
    <row r="88" spans="1:7" ht="15.75" x14ac:dyDescent="0.25">
      <c r="A88" s="39">
        <v>76</v>
      </c>
      <c r="B88" s="28" t="s">
        <v>126</v>
      </c>
      <c r="C88" s="55" t="s">
        <v>46</v>
      </c>
      <c r="D88" s="55">
        <v>1</v>
      </c>
      <c r="E88" s="29"/>
      <c r="F88" s="30">
        <f>F87*D88%</f>
        <v>255823.70034999994</v>
      </c>
      <c r="G88" s="56"/>
    </row>
    <row r="89" spans="1:7" ht="21" x14ac:dyDescent="0.35">
      <c r="A89" s="39">
        <v>77</v>
      </c>
      <c r="B89" s="31" t="s">
        <v>18</v>
      </c>
      <c r="C89" s="32"/>
      <c r="D89" s="32"/>
      <c r="E89" s="33"/>
      <c r="F89" s="34">
        <f>F87+F88</f>
        <v>25838193.735349994</v>
      </c>
      <c r="G89" s="56"/>
    </row>
    <row r="90" spans="1:7" ht="15.75" x14ac:dyDescent="0.25">
      <c r="A90" s="39">
        <v>78</v>
      </c>
      <c r="B90" s="20" t="s">
        <v>83</v>
      </c>
      <c r="C90" s="12"/>
      <c r="D90" s="12"/>
      <c r="E90" s="8"/>
      <c r="F90" s="9"/>
    </row>
    <row r="91" spans="1:7" ht="15.75" x14ac:dyDescent="0.25">
      <c r="A91" s="39">
        <v>79</v>
      </c>
      <c r="B91" s="64" t="s">
        <v>69</v>
      </c>
      <c r="C91" s="13" t="s">
        <v>12</v>
      </c>
      <c r="D91" s="61">
        <f>F6</f>
        <v>882</v>
      </c>
      <c r="E91" s="10">
        <v>750</v>
      </c>
      <c r="F91" s="9">
        <f>D91*E91</f>
        <v>661500</v>
      </c>
    </row>
    <row r="92" spans="1:7" ht="15.75" x14ac:dyDescent="0.25">
      <c r="A92" s="39">
        <v>80</v>
      </c>
      <c r="B92" s="64" t="s">
        <v>70</v>
      </c>
      <c r="C92" s="13" t="s">
        <v>12</v>
      </c>
      <c r="D92" s="61">
        <f>D91</f>
        <v>882</v>
      </c>
      <c r="E92" s="10">
        <f>E91*50%</f>
        <v>375</v>
      </c>
      <c r="F92" s="9">
        <f t="shared" ref="F92:F100" si="13">D92*E92</f>
        <v>330750</v>
      </c>
    </row>
    <row r="93" spans="1:7" ht="15.75" x14ac:dyDescent="0.25">
      <c r="A93" s="39">
        <v>81</v>
      </c>
      <c r="B93" s="23" t="s">
        <v>71</v>
      </c>
      <c r="C93" s="13" t="s">
        <v>12</v>
      </c>
      <c r="D93" s="61">
        <f t="shared" ref="D93:D98" si="14">D92</f>
        <v>882</v>
      </c>
      <c r="E93" s="10">
        <v>150</v>
      </c>
      <c r="F93" s="9">
        <f t="shared" si="13"/>
        <v>132300</v>
      </c>
    </row>
    <row r="94" spans="1:7" ht="15.75" x14ac:dyDescent="0.25">
      <c r="A94" s="39">
        <v>82</v>
      </c>
      <c r="B94" s="23" t="s">
        <v>72</v>
      </c>
      <c r="C94" s="13" t="s">
        <v>12</v>
      </c>
      <c r="D94" s="61">
        <f t="shared" si="14"/>
        <v>882</v>
      </c>
      <c r="E94" s="10">
        <f>E93*50%</f>
        <v>75</v>
      </c>
      <c r="F94" s="9">
        <f t="shared" si="13"/>
        <v>66150</v>
      </c>
    </row>
    <row r="95" spans="1:7" ht="15.75" x14ac:dyDescent="0.25">
      <c r="A95" s="39">
        <v>83</v>
      </c>
      <c r="B95" s="23" t="s">
        <v>73</v>
      </c>
      <c r="C95" s="13" t="s">
        <v>12</v>
      </c>
      <c r="D95" s="61">
        <f t="shared" si="14"/>
        <v>882</v>
      </c>
      <c r="E95" s="10">
        <v>750</v>
      </c>
      <c r="F95" s="9">
        <f t="shared" si="13"/>
        <v>661500</v>
      </c>
    </row>
    <row r="96" spans="1:7" ht="15" customHeight="1" x14ac:dyDescent="0.25">
      <c r="A96" s="39">
        <v>84</v>
      </c>
      <c r="B96" s="23" t="s">
        <v>74</v>
      </c>
      <c r="C96" s="13" t="s">
        <v>12</v>
      </c>
      <c r="D96" s="61">
        <f t="shared" si="14"/>
        <v>882</v>
      </c>
      <c r="E96" s="10">
        <f>E95*50%</f>
        <v>375</v>
      </c>
      <c r="F96" s="9">
        <f t="shared" si="13"/>
        <v>330750</v>
      </c>
    </row>
    <row r="97" spans="1:8" ht="15.75" x14ac:dyDescent="0.25">
      <c r="A97" s="39">
        <v>85</v>
      </c>
      <c r="B97" s="23" t="s">
        <v>130</v>
      </c>
      <c r="C97" s="13" t="s">
        <v>12</v>
      </c>
      <c r="D97" s="61">
        <f t="shared" si="14"/>
        <v>882</v>
      </c>
      <c r="E97" s="10">
        <v>300</v>
      </c>
      <c r="F97" s="9">
        <f t="shared" si="13"/>
        <v>264600</v>
      </c>
    </row>
    <row r="98" spans="1:8" ht="15.75" x14ac:dyDescent="0.25">
      <c r="A98" s="39">
        <v>86</v>
      </c>
      <c r="B98" s="23" t="s">
        <v>131</v>
      </c>
      <c r="C98" s="13" t="s">
        <v>12</v>
      </c>
      <c r="D98" s="61">
        <f t="shared" si="14"/>
        <v>882</v>
      </c>
      <c r="E98" s="10">
        <f>E97*120%</f>
        <v>360</v>
      </c>
      <c r="F98" s="9">
        <f t="shared" si="13"/>
        <v>317520</v>
      </c>
    </row>
    <row r="99" spans="1:8" ht="15.75" x14ac:dyDescent="0.25">
      <c r="A99" s="39"/>
      <c r="B99" s="23" t="s">
        <v>116</v>
      </c>
      <c r="C99" s="13" t="s">
        <v>12</v>
      </c>
      <c r="D99" s="61">
        <f>D98</f>
        <v>882</v>
      </c>
      <c r="E99" s="10">
        <v>200</v>
      </c>
      <c r="F99" s="9">
        <f t="shared" si="13"/>
        <v>176400</v>
      </c>
    </row>
    <row r="100" spans="1:8" ht="15.75" x14ac:dyDescent="0.25">
      <c r="A100" s="39">
        <v>87</v>
      </c>
      <c r="B100" s="23" t="s">
        <v>117</v>
      </c>
      <c r="C100" s="13" t="s">
        <v>12</v>
      </c>
      <c r="D100" s="61">
        <f>D99</f>
        <v>882</v>
      </c>
      <c r="E100" s="10">
        <f>E99*120%</f>
        <v>240</v>
      </c>
      <c r="F100" s="9">
        <f t="shared" si="13"/>
        <v>211680</v>
      </c>
    </row>
    <row r="101" spans="1:8" ht="15.75" x14ac:dyDescent="0.25">
      <c r="A101" s="39">
        <v>88</v>
      </c>
      <c r="B101" s="21" t="s">
        <v>4</v>
      </c>
      <c r="C101" s="13"/>
      <c r="D101" s="54"/>
      <c r="E101" s="10"/>
      <c r="F101" s="22">
        <f>SUM(F91:F98)</f>
        <v>2765070</v>
      </c>
    </row>
    <row r="102" spans="1:8" ht="15.75" x14ac:dyDescent="0.25">
      <c r="A102" s="39">
        <v>89</v>
      </c>
      <c r="B102" s="20" t="s">
        <v>84</v>
      </c>
      <c r="C102" s="13" t="s">
        <v>12</v>
      </c>
      <c r="D102" s="54">
        <v>0</v>
      </c>
      <c r="E102" s="10">
        <v>730</v>
      </c>
      <c r="F102" s="22">
        <f>D102*E102</f>
        <v>0</v>
      </c>
    </row>
    <row r="103" spans="1:8" ht="18.75" x14ac:dyDescent="0.3">
      <c r="A103" s="39">
        <v>90</v>
      </c>
      <c r="B103" s="44" t="s">
        <v>85</v>
      </c>
      <c r="C103" s="35" t="s">
        <v>46</v>
      </c>
      <c r="D103" s="35">
        <v>6</v>
      </c>
      <c r="E103" s="36"/>
      <c r="F103" s="38">
        <f>(F89+F101)*D103%</f>
        <v>1716195.8241209995</v>
      </c>
    </row>
    <row r="104" spans="1:8" ht="18.75" x14ac:dyDescent="0.3">
      <c r="A104" s="39">
        <v>91</v>
      </c>
      <c r="B104" s="44" t="s">
        <v>86</v>
      </c>
      <c r="C104" s="35" t="s">
        <v>17</v>
      </c>
      <c r="D104" s="35">
        <f>40*8</f>
        <v>320</v>
      </c>
      <c r="E104" s="36">
        <v>2000</v>
      </c>
      <c r="F104" s="38">
        <f>D104*E104</f>
        <v>640000</v>
      </c>
    </row>
    <row r="105" spans="1:8" ht="15.75" x14ac:dyDescent="0.25">
      <c r="A105" s="39">
        <v>92</v>
      </c>
      <c r="B105" s="44" t="s">
        <v>87</v>
      </c>
      <c r="C105" s="45"/>
      <c r="D105" s="45"/>
      <c r="E105" s="46"/>
      <c r="F105" s="47">
        <f>SUM(F106:F120)</f>
        <v>736000</v>
      </c>
      <c r="G105" s="56"/>
      <c r="H105" s="56"/>
    </row>
    <row r="106" spans="1:8" x14ac:dyDescent="0.25">
      <c r="A106" s="39">
        <v>93</v>
      </c>
      <c r="B106" s="48" t="s">
        <v>56</v>
      </c>
      <c r="C106" s="49" t="s">
        <v>13</v>
      </c>
      <c r="D106" s="49">
        <v>3</v>
      </c>
      <c r="E106" s="50">
        <v>5000</v>
      </c>
      <c r="F106" s="51">
        <f>D106*E106</f>
        <v>15000</v>
      </c>
    </row>
    <row r="107" spans="1:8" x14ac:dyDescent="0.25">
      <c r="A107" s="39">
        <v>94</v>
      </c>
      <c r="B107" s="48" t="s">
        <v>57</v>
      </c>
      <c r="C107" s="49" t="s">
        <v>13</v>
      </c>
      <c r="D107" s="49">
        <v>7</v>
      </c>
      <c r="E107" s="50">
        <v>4000</v>
      </c>
      <c r="F107" s="51">
        <f t="shared" ref="F107:F120" si="15">D107*E107</f>
        <v>28000</v>
      </c>
    </row>
    <row r="108" spans="1:8" x14ac:dyDescent="0.25">
      <c r="A108" s="39">
        <v>95</v>
      </c>
      <c r="B108" s="48" t="s">
        <v>77</v>
      </c>
      <c r="C108" s="49" t="s">
        <v>13</v>
      </c>
      <c r="D108" s="49">
        <v>2</v>
      </c>
      <c r="E108" s="50">
        <v>6000</v>
      </c>
      <c r="F108" s="51">
        <f t="shared" si="15"/>
        <v>12000</v>
      </c>
    </row>
    <row r="109" spans="1:8" x14ac:dyDescent="0.25">
      <c r="A109" s="39"/>
      <c r="B109" s="48" t="s">
        <v>128</v>
      </c>
      <c r="C109" s="49" t="s">
        <v>13</v>
      </c>
      <c r="D109" s="49">
        <v>0</v>
      </c>
      <c r="E109" s="50">
        <v>18000</v>
      </c>
      <c r="F109" s="51">
        <f t="shared" si="15"/>
        <v>0</v>
      </c>
    </row>
    <row r="110" spans="1:8" x14ac:dyDescent="0.25">
      <c r="A110" s="39">
        <v>96</v>
      </c>
      <c r="B110" s="48" t="s">
        <v>75</v>
      </c>
      <c r="C110" s="49" t="s">
        <v>76</v>
      </c>
      <c r="D110" s="49">
        <v>400</v>
      </c>
      <c r="E110" s="50">
        <v>430</v>
      </c>
      <c r="F110" s="63">
        <f>D110*E110</f>
        <v>172000</v>
      </c>
      <c r="G110" s="56"/>
    </row>
    <row r="111" spans="1:8" x14ac:dyDescent="0.25">
      <c r="A111" s="39">
        <v>97</v>
      </c>
      <c r="B111" s="48" t="s">
        <v>132</v>
      </c>
      <c r="C111" s="49" t="s">
        <v>13</v>
      </c>
      <c r="D111" s="49">
        <v>1</v>
      </c>
      <c r="E111" s="50">
        <v>7500</v>
      </c>
      <c r="F111" s="63">
        <f t="shared" si="15"/>
        <v>7500</v>
      </c>
    </row>
    <row r="112" spans="1:8" x14ac:dyDescent="0.25">
      <c r="A112" s="39"/>
      <c r="B112" s="48" t="s">
        <v>133</v>
      </c>
      <c r="C112" s="49" t="s">
        <v>13</v>
      </c>
      <c r="D112" s="49">
        <v>5</v>
      </c>
      <c r="E112" s="50">
        <v>13500</v>
      </c>
      <c r="F112" s="63">
        <f t="shared" ref="F112:F114" si="16">D112*E112</f>
        <v>67500</v>
      </c>
    </row>
    <row r="113" spans="1:8" x14ac:dyDescent="0.25">
      <c r="A113" s="39"/>
      <c r="B113" s="48" t="s">
        <v>144</v>
      </c>
      <c r="C113" s="49" t="s">
        <v>13</v>
      </c>
      <c r="D113" s="49">
        <v>3</v>
      </c>
      <c r="E113" s="50">
        <v>16500</v>
      </c>
      <c r="F113" s="63">
        <f t="shared" si="16"/>
        <v>49500</v>
      </c>
    </row>
    <row r="114" spans="1:8" x14ac:dyDescent="0.25">
      <c r="A114" s="39"/>
      <c r="B114" s="48" t="s">
        <v>134</v>
      </c>
      <c r="C114" s="49" t="s">
        <v>13</v>
      </c>
      <c r="D114" s="49">
        <v>2</v>
      </c>
      <c r="E114" s="50">
        <v>27500</v>
      </c>
      <c r="F114" s="63">
        <f t="shared" si="16"/>
        <v>55000</v>
      </c>
    </row>
    <row r="115" spans="1:8" x14ac:dyDescent="0.25">
      <c r="A115" s="39"/>
      <c r="B115" s="48" t="s">
        <v>145</v>
      </c>
      <c r="C115" s="49" t="s">
        <v>13</v>
      </c>
      <c r="D115" s="49">
        <v>2</v>
      </c>
      <c r="E115" s="50">
        <v>27500</v>
      </c>
      <c r="F115" s="63">
        <f t="shared" ref="F115:F116" si="17">D115*E115</f>
        <v>55000</v>
      </c>
    </row>
    <row r="116" spans="1:8" x14ac:dyDescent="0.25">
      <c r="A116" s="39"/>
      <c r="B116" s="48" t="s">
        <v>146</v>
      </c>
      <c r="C116" s="49" t="s">
        <v>13</v>
      </c>
      <c r="D116" s="49">
        <v>2</v>
      </c>
      <c r="E116" s="50">
        <v>35000</v>
      </c>
      <c r="F116" s="63">
        <f t="shared" si="17"/>
        <v>70000</v>
      </c>
    </row>
    <row r="117" spans="1:8" x14ac:dyDescent="0.25">
      <c r="A117" s="39">
        <v>98</v>
      </c>
      <c r="B117" s="48" t="s">
        <v>129</v>
      </c>
      <c r="C117" s="49" t="s">
        <v>13</v>
      </c>
      <c r="D117" s="49">
        <v>2</v>
      </c>
      <c r="E117" s="50">
        <v>5500</v>
      </c>
      <c r="F117" s="63">
        <f t="shared" si="15"/>
        <v>11000</v>
      </c>
    </row>
    <row r="118" spans="1:8" x14ac:dyDescent="0.25">
      <c r="A118" s="39">
        <v>100</v>
      </c>
      <c r="B118" s="48" t="s">
        <v>48</v>
      </c>
      <c r="C118" s="49" t="s">
        <v>13</v>
      </c>
      <c r="D118" s="49">
        <v>1</v>
      </c>
      <c r="E118" s="50">
        <v>88000</v>
      </c>
      <c r="F118" s="51">
        <f>D118*E118</f>
        <v>88000</v>
      </c>
    </row>
    <row r="119" spans="1:8" x14ac:dyDescent="0.25">
      <c r="A119" s="39">
        <v>101</v>
      </c>
      <c r="B119" s="48" t="s">
        <v>78</v>
      </c>
      <c r="C119" s="49" t="s">
        <v>13</v>
      </c>
      <c r="D119" s="49">
        <v>2</v>
      </c>
      <c r="E119" s="50">
        <v>4250</v>
      </c>
      <c r="F119" s="63">
        <f>D119*E119</f>
        <v>8500</v>
      </c>
    </row>
    <row r="120" spans="1:8" x14ac:dyDescent="0.25">
      <c r="A120" s="39">
        <v>102</v>
      </c>
      <c r="B120" s="48" t="s">
        <v>147</v>
      </c>
      <c r="C120" s="49" t="s">
        <v>33</v>
      </c>
      <c r="D120" s="49">
        <v>1</v>
      </c>
      <c r="E120" s="50">
        <v>97000</v>
      </c>
      <c r="F120" s="63">
        <f t="shared" si="15"/>
        <v>97000</v>
      </c>
    </row>
    <row r="121" spans="1:8" ht="15.75" x14ac:dyDescent="0.25">
      <c r="A121" s="39">
        <v>103</v>
      </c>
      <c r="B121" s="65" t="s">
        <v>88</v>
      </c>
      <c r="C121" s="45"/>
      <c r="D121" s="45"/>
      <c r="E121" s="46"/>
      <c r="F121" s="47">
        <f>SUM(F122:F131)</f>
        <v>0</v>
      </c>
      <c r="G121" s="56"/>
      <c r="H121" s="56"/>
    </row>
    <row r="122" spans="1:8" x14ac:dyDescent="0.25">
      <c r="A122" s="39">
        <v>104</v>
      </c>
      <c r="B122" s="66" t="s">
        <v>89</v>
      </c>
      <c r="C122" s="67" t="s">
        <v>90</v>
      </c>
      <c r="D122" s="68"/>
      <c r="E122" s="50">
        <v>4600</v>
      </c>
      <c r="F122" s="51">
        <f>D122*E122</f>
        <v>0</v>
      </c>
    </row>
    <row r="123" spans="1:8" x14ac:dyDescent="0.25">
      <c r="A123" s="39">
        <v>105</v>
      </c>
      <c r="B123" s="66" t="s">
        <v>91</v>
      </c>
      <c r="C123" s="67" t="s">
        <v>90</v>
      </c>
      <c r="D123" s="68"/>
      <c r="E123" s="50">
        <v>600</v>
      </c>
      <c r="F123" s="51">
        <f t="shared" ref="F123:F124" si="18">D123*E123</f>
        <v>0</v>
      </c>
    </row>
    <row r="124" spans="1:8" x14ac:dyDescent="0.25">
      <c r="A124" s="39">
        <v>106</v>
      </c>
      <c r="B124" s="66" t="s">
        <v>92</v>
      </c>
      <c r="C124" s="67" t="s">
        <v>90</v>
      </c>
      <c r="D124" s="68"/>
      <c r="E124" s="50">
        <v>6700</v>
      </c>
      <c r="F124" s="51">
        <f t="shared" si="18"/>
        <v>0</v>
      </c>
    </row>
    <row r="125" spans="1:8" x14ac:dyDescent="0.25">
      <c r="A125" s="39">
        <v>107</v>
      </c>
      <c r="B125" s="66" t="s">
        <v>93</v>
      </c>
      <c r="C125" s="67" t="s">
        <v>90</v>
      </c>
      <c r="D125" s="68"/>
      <c r="E125" s="50">
        <v>7000</v>
      </c>
      <c r="F125" s="51">
        <f>D125*E125</f>
        <v>0</v>
      </c>
    </row>
    <row r="126" spans="1:8" x14ac:dyDescent="0.25">
      <c r="A126" s="39">
        <v>108</v>
      </c>
      <c r="B126" s="66" t="s">
        <v>94</v>
      </c>
      <c r="C126" s="67" t="s">
        <v>90</v>
      </c>
      <c r="D126" s="68"/>
      <c r="E126" s="50">
        <v>7800</v>
      </c>
      <c r="F126" s="51">
        <f t="shared" ref="F126:F128" si="19">D126*E126</f>
        <v>0</v>
      </c>
    </row>
    <row r="127" spans="1:8" x14ac:dyDescent="0.25">
      <c r="A127" s="39">
        <v>109</v>
      </c>
      <c r="B127" s="69" t="s">
        <v>95</v>
      </c>
      <c r="C127" s="67" t="s">
        <v>90</v>
      </c>
      <c r="D127" s="68"/>
      <c r="E127" s="50">
        <v>2500</v>
      </c>
      <c r="F127" s="51">
        <f t="shared" si="19"/>
        <v>0</v>
      </c>
    </row>
    <row r="128" spans="1:8" x14ac:dyDescent="0.25">
      <c r="A128" s="39">
        <v>110</v>
      </c>
      <c r="B128" s="69" t="s">
        <v>96</v>
      </c>
      <c r="C128" s="67" t="s">
        <v>90</v>
      </c>
      <c r="D128" s="68"/>
      <c r="E128" s="50">
        <v>1250</v>
      </c>
      <c r="F128" s="51">
        <f t="shared" si="19"/>
        <v>0</v>
      </c>
    </row>
    <row r="129" spans="1:8" x14ac:dyDescent="0.25">
      <c r="A129" s="39">
        <v>111</v>
      </c>
      <c r="B129" s="66" t="s">
        <v>97</v>
      </c>
      <c r="C129" s="67" t="s">
        <v>90</v>
      </c>
      <c r="D129" s="68"/>
      <c r="E129" s="50">
        <v>6200</v>
      </c>
      <c r="F129" s="51">
        <f t="shared" ref="F129:F133" si="20">D129*E129</f>
        <v>0</v>
      </c>
    </row>
    <row r="130" spans="1:8" x14ac:dyDescent="0.25">
      <c r="A130" s="39">
        <v>112</v>
      </c>
      <c r="B130" s="66" t="s">
        <v>98</v>
      </c>
      <c r="C130" s="67" t="s">
        <v>90</v>
      </c>
      <c r="D130" s="68"/>
      <c r="E130" s="50">
        <v>6800</v>
      </c>
      <c r="F130" s="51">
        <f t="shared" si="20"/>
        <v>0</v>
      </c>
    </row>
    <row r="131" spans="1:8" x14ac:dyDescent="0.25">
      <c r="A131" s="39">
        <v>113</v>
      </c>
      <c r="B131" s="66" t="s">
        <v>99</v>
      </c>
      <c r="C131" s="67" t="s">
        <v>90</v>
      </c>
      <c r="D131" s="68"/>
      <c r="E131" s="50">
        <v>27000</v>
      </c>
      <c r="F131" s="51">
        <f t="shared" si="20"/>
        <v>0</v>
      </c>
    </row>
    <row r="132" spans="1:8" ht="18" customHeight="1" x14ac:dyDescent="0.25">
      <c r="A132" s="39">
        <v>115</v>
      </c>
      <c r="B132" s="65" t="s">
        <v>118</v>
      </c>
      <c r="C132" s="71" t="s">
        <v>100</v>
      </c>
      <c r="D132" s="71">
        <v>0</v>
      </c>
      <c r="E132" s="72">
        <v>620000</v>
      </c>
      <c r="F132" s="47">
        <f t="shared" si="20"/>
        <v>0</v>
      </c>
      <c r="G132" s="56"/>
      <c r="H132" s="56"/>
    </row>
    <row r="133" spans="1:8" ht="21" customHeight="1" x14ac:dyDescent="0.25">
      <c r="A133" s="39">
        <v>116</v>
      </c>
      <c r="B133" s="65" t="s">
        <v>119</v>
      </c>
      <c r="C133" s="71" t="s">
        <v>100</v>
      </c>
      <c r="D133" s="71">
        <v>0</v>
      </c>
      <c r="E133" s="72">
        <v>620000</v>
      </c>
      <c r="F133" s="47">
        <f t="shared" si="20"/>
        <v>0</v>
      </c>
      <c r="G133" s="56"/>
      <c r="H133" s="56"/>
    </row>
    <row r="134" spans="1:8" ht="46.5" x14ac:dyDescent="0.25">
      <c r="A134" s="39">
        <v>117</v>
      </c>
      <c r="B134" s="16" t="s">
        <v>5</v>
      </c>
      <c r="C134" s="17"/>
      <c r="D134" s="17"/>
      <c r="E134" s="18"/>
      <c r="F134" s="70">
        <f>F89+F101+F103+F104+F102+F105+F121+F132+F133</f>
        <v>31695459.559470993</v>
      </c>
      <c r="G134" t="s">
        <v>148</v>
      </c>
    </row>
    <row r="135" spans="1:8" x14ac:dyDescent="0.25">
      <c r="A135" s="39">
        <v>118</v>
      </c>
      <c r="B135" s="41" t="s">
        <v>120</v>
      </c>
      <c r="C135" s="37">
        <v>24</v>
      </c>
      <c r="D135" s="76" t="s">
        <v>26</v>
      </c>
      <c r="E135" s="76"/>
      <c r="F135" s="42">
        <f>F134/F6</f>
        <v>35935.89519214398</v>
      </c>
    </row>
    <row r="136" spans="1:8" x14ac:dyDescent="0.25">
      <c r="A136"/>
      <c r="C136"/>
      <c r="D136"/>
      <c r="F136" s="1"/>
    </row>
    <row r="137" spans="1:8" x14ac:dyDescent="0.25">
      <c r="A137"/>
      <c r="C137"/>
      <c r="D137"/>
      <c r="F137" s="1"/>
    </row>
    <row r="138" spans="1:8" x14ac:dyDescent="0.25">
      <c r="A138"/>
      <c r="C138"/>
      <c r="D138"/>
      <c r="F138" s="1"/>
    </row>
    <row r="139" spans="1:8" x14ac:dyDescent="0.25">
      <c r="A139"/>
      <c r="C139"/>
      <c r="D139"/>
      <c r="F139" s="1"/>
    </row>
  </sheetData>
  <mergeCells count="9">
    <mergeCell ref="A1:B1"/>
    <mergeCell ref="C1:F1"/>
    <mergeCell ref="C2:F2"/>
    <mergeCell ref="C3:F3"/>
    <mergeCell ref="D135:E135"/>
    <mergeCell ref="C6:D6"/>
    <mergeCell ref="C4:F4"/>
    <mergeCell ref="C5:F5"/>
    <mergeCell ref="C7:F7"/>
  </mergeCells>
  <dataValidations count="6">
    <dataValidation type="list" allowBlank="1" showInputMessage="1" showErrorMessage="1" sqref="B11:B17">
      <formula1>Фундаменты</formula1>
    </dataValidation>
    <dataValidation type="list" allowBlank="1" showInputMessage="1" showErrorMessage="1" sqref="B68:B73 B62:B64 B79 B75:B77">
      <formula1>отделка</formula1>
    </dataValidation>
    <dataValidation type="list" allowBlank="1" showInputMessage="1" showErrorMessage="1" sqref="B81">
      <formula1>прочие</formula1>
    </dataValidation>
    <dataValidation type="list" allowBlank="1" showInputMessage="1" showErrorMessage="1" sqref="B30:B43">
      <formula1>кровля</formula1>
    </dataValidation>
    <dataValidation type="list" allowBlank="1" showInputMessage="1" showErrorMessage="1" sqref="B82:B85">
      <formula1>лестницы</formula1>
    </dataValidation>
    <dataValidation type="list" allowBlank="1" showInputMessage="1" showErrorMessage="1" sqref="B20:B27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2014-07-07T05:25:44Z</dcterms:modified>
</cp:coreProperties>
</file>