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90" windowWidth="20730" windowHeight="117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definedNames>
    <definedName name="кровля">[1]Кровля!$A$1:$A$60</definedName>
    <definedName name="наружныестены">'[1]Наружные стены и модули'!$A$1:$A$101</definedName>
    <definedName name="отделка">[2]Отделка!$A$1:$A$66</definedName>
    <definedName name="Фундаменты">[1]Фундаменты!$A$1:$A$56</definedName>
  </definedNames>
  <calcPr calcId="125725" refMode="R1C1"/>
</workbook>
</file>

<file path=xl/calcChain.xml><?xml version="1.0" encoding="utf-8"?>
<calcChain xmlns="http://schemas.openxmlformats.org/spreadsheetml/2006/main">
  <c r="D54" i="1"/>
  <c r="D68"/>
  <c r="D66"/>
  <c r="F68" l="1"/>
  <c r="D67" l="1"/>
  <c r="D58"/>
  <c r="D62"/>
  <c r="D64" s="1"/>
  <c r="F64" s="1"/>
  <c r="D60"/>
  <c r="D61" s="1"/>
  <c r="F61" s="1"/>
  <c r="F66"/>
  <c r="C66"/>
  <c r="C64"/>
  <c r="C63"/>
  <c r="C62"/>
  <c r="C61"/>
  <c r="F60"/>
  <c r="C60"/>
  <c r="F54"/>
  <c r="D49"/>
  <c r="D46"/>
  <c r="C41"/>
  <c r="C40"/>
  <c r="D39"/>
  <c r="D40" s="1"/>
  <c r="F40" s="1"/>
  <c r="C39"/>
  <c r="D38"/>
  <c r="F38" s="1"/>
  <c r="F37"/>
  <c r="C37"/>
  <c r="D36"/>
  <c r="F36" s="1"/>
  <c r="C36"/>
  <c r="F35"/>
  <c r="C35"/>
  <c r="E34"/>
  <c r="D34"/>
  <c r="C34"/>
  <c r="C33"/>
  <c r="C32"/>
  <c r="F31"/>
  <c r="C30"/>
  <c r="C29"/>
  <c r="C28"/>
  <c r="D15"/>
  <c r="D16" s="1"/>
  <c r="F16" s="1"/>
  <c r="C16"/>
  <c r="D25"/>
  <c r="D23"/>
  <c r="F23" s="1"/>
  <c r="C24"/>
  <c r="C23"/>
  <c r="F62" l="1"/>
  <c r="D63"/>
  <c r="F63" s="1"/>
  <c r="F67"/>
  <c r="D56"/>
  <c r="F56" s="1"/>
  <c r="D55"/>
  <c r="F55" s="1"/>
  <c r="F34"/>
  <c r="F39"/>
  <c r="F15"/>
  <c r="D24"/>
  <c r="F24" s="1"/>
  <c r="D14" l="1"/>
  <c r="D13"/>
  <c r="F6"/>
  <c r="D59" s="1"/>
  <c r="F59" l="1"/>
  <c r="F58"/>
  <c r="D29"/>
  <c r="D28"/>
  <c r="F28" l="1"/>
  <c r="D32"/>
  <c r="F32" s="1"/>
  <c r="F29"/>
  <c r="D30"/>
  <c r="F30" s="1"/>
  <c r="D33"/>
  <c r="F33" s="1"/>
  <c r="D41"/>
  <c r="F41" s="1"/>
  <c r="E79"/>
  <c r="E77"/>
  <c r="E75"/>
  <c r="F42" l="1"/>
  <c r="D81"/>
  <c r="F81" s="1"/>
  <c r="D50" l="1"/>
  <c r="F25"/>
  <c r="D79" l="1"/>
  <c r="F79" s="1"/>
  <c r="D78"/>
  <c r="F78" s="1"/>
  <c r="D77"/>
  <c r="F77" s="1"/>
  <c r="D76"/>
  <c r="F76" s="1"/>
  <c r="D75"/>
  <c r="F75" s="1"/>
  <c r="D74"/>
  <c r="F74" s="1"/>
  <c r="F80" l="1"/>
  <c r="F22" l="1"/>
  <c r="F13" l="1"/>
  <c r="F14" l="1"/>
  <c r="F12"/>
  <c r="F20" l="1"/>
  <c r="F19"/>
  <c r="C1" l="1"/>
  <c r="F11" l="1"/>
  <c r="F17" s="1"/>
  <c r="F46" l="1"/>
  <c r="F50"/>
  <c r="F44" l="1"/>
  <c r="F45"/>
  <c r="F47" l="1"/>
  <c r="F21"/>
  <c r="F26" s="1"/>
  <c r="F69" l="1"/>
  <c r="F49" l="1"/>
  <c r="F51" s="1"/>
  <c r="A1" l="1"/>
  <c r="F70" l="1"/>
  <c r="F71" s="1"/>
  <c r="F72" l="1"/>
  <c r="F82" s="1"/>
  <c r="F83" l="1"/>
  <c r="F88" l="1"/>
  <c r="F89" s="1"/>
  <c r="F85"/>
</calcChain>
</file>

<file path=xl/sharedStrings.xml><?xml version="1.0" encoding="utf-8"?>
<sst xmlns="http://schemas.openxmlformats.org/spreadsheetml/2006/main" count="135" uniqueCount="101">
  <si>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</si>
  <si>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</si>
  <si>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</si>
  <si>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</si>
  <si>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</si>
  <si>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</si>
  <si>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</si>
  <si>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</si>
  <si>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</si>
  <si>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</si>
  <si>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</si>
  <si>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</si>
  <si>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</si>
  <si>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</si>
  <si>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</si>
  <si>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</si>
  <si>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Цоколь</t>
  </si>
  <si>
    <t>Монтаж</t>
  </si>
  <si>
    <t>Сборка</t>
  </si>
  <si>
    <t>Монтаж сп</t>
  </si>
  <si>
    <t>Раздел 1. Фундамент</t>
  </si>
  <si>
    <t>Разметка и вынос осей</t>
  </si>
  <si>
    <t>чел/час</t>
  </si>
  <si>
    <t>маш/час</t>
  </si>
  <si>
    <t>ИТОГО общестроительные работы</t>
  </si>
  <si>
    <t>Электрика (материалы)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</si>
  <si>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</si>
  <si>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</si>
  <si>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</si>
  <si>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</si>
  <si>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</si>
  <si>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 xml:space="preserve">Раздел 8. Инженерные сети </t>
  </si>
  <si>
    <t>Отопление и вентиляция (монтаж)</t>
  </si>
  <si>
    <t>Описание:</t>
  </si>
  <si>
    <t>Винтовые сваи</t>
  </si>
  <si>
    <t>Монтаж свай винтовых</t>
  </si>
  <si>
    <t>Раздел 9. Проектные работы</t>
  </si>
  <si>
    <t>КОЛИЧЕСТВО МАШИН НА ДОСТАВКУ:</t>
  </si>
  <si>
    <t>Буроям</t>
  </si>
  <si>
    <t>Монтаж панелей</t>
  </si>
  <si>
    <t>Раздел 10. Накладные расходы (проживание, суточные, проезд и пр)</t>
  </si>
  <si>
    <t>Раздел 7. Отделочные работы, стены - стандартная отделка</t>
  </si>
  <si>
    <t>Отопление электрическое и вентиляция (материалы)</t>
  </si>
  <si>
    <t>ЗАО "ФАРН"</t>
  </si>
  <si>
    <t>Столовая на 40 посадочных мест</t>
  </si>
  <si>
    <t>п. Новоангарск, Мотыгинсккий район, Красноярский край</t>
  </si>
  <si>
    <t>10 модулей + коридор</t>
  </si>
  <si>
    <t>Общая площадь, м2:</t>
  </si>
  <si>
    <t>Толщина сэндвич-панелей (стены/потолок/пол), мм:</t>
  </si>
  <si>
    <t>внут. высота:</t>
  </si>
  <si>
    <t>150/200/200</t>
  </si>
  <si>
    <t>Раздел 5. Проемы (окна стандартные входят в стоимость)</t>
  </si>
  <si>
    <t>Двери внутренние МДФ</t>
  </si>
  <si>
    <t xml:space="preserve">Панели ПВХ </t>
  </si>
  <si>
    <t>Подсистема под ПВХ панели</t>
  </si>
  <si>
    <t>СТЕНЫ</t>
  </si>
  <si>
    <t>Цена за м2:</t>
  </si>
  <si>
    <t>Водоснабжение, канализация</t>
  </si>
  <si>
    <t>Водоснабжение, канализация (материалы)</t>
  </si>
  <si>
    <t>Прибыль</t>
  </si>
  <si>
    <t>Доставка</t>
  </si>
  <si>
    <t>ИТОГО с доставкой</t>
  </si>
  <si>
    <t>Монтаж стального покрытия</t>
  </si>
  <si>
    <t>%</t>
  </si>
  <si>
    <t>Модуль без 2 длинных и 1 короткой 6,229*2,434, 150/200/200</t>
  </si>
  <si>
    <t>Модуль без без 1 длинной и 1 короткой 6,229*2,434, 150/200/200</t>
  </si>
  <si>
    <t>Кассета кровли, б=200мм</t>
  </si>
  <si>
    <t>Кассета пола, б=200мм</t>
  </si>
  <si>
    <t>Монтаж металлоконструкций обвязки оголовков свай</t>
  </si>
  <si>
    <t>Металлоконструкции обвязки оголовков свай из швеллера 20П</t>
  </si>
  <si>
    <t>Конструкции металлические ферм</t>
  </si>
  <si>
    <t>Профлист Н44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</si>
  <si>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</si>
  <si>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</si>
  <si>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</si>
  <si>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</si>
  <si>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</si>
  <si>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</si>
  <si>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</si>
  <si>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</si>
  <si>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</si>
  <si>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</si>
  <si>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</si>
  <si>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</si>
  <si>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</si>
  <si>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Дверь входная стандартная металлическая</t>
  </si>
  <si>
    <t>Монтаж дверей</t>
  </si>
  <si>
    <t xml:space="preserve">ПОЛ </t>
  </si>
  <si>
    <t xml:space="preserve">Линолеум </t>
  </si>
  <si>
    <t>Металлический рифленый лист 3 мм</t>
  </si>
  <si>
    <t>Укладка кафеля на пол</t>
  </si>
  <si>
    <t>Плитка для пола Соло Крема 300*300</t>
  </si>
  <si>
    <t>Клей для кафеля и керамогранита</t>
  </si>
  <si>
    <t>ПОТОЛОК</t>
  </si>
  <si>
    <t>Монтаж облицовки потолков</t>
  </si>
  <si>
    <t>Панели ПВХ с комплектующими (для помещений с влажным режимом)</t>
  </si>
  <si>
    <t>санузлы, моечные цех горячий, овощной, рыбный коридо, тамбур</t>
  </si>
  <si>
    <t>Подвесные потолки Армстронг OASIS Plus (Оазис плюс) 600*600*12 (кромка Board) комплектующими для подсистемы</t>
  </si>
  <si>
    <t>санузлы и моечные</t>
  </si>
  <si>
    <t>-</t>
  </si>
  <si>
    <t>Неучтенные работы и материалы (около 1 %)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</si>
</sst>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5" fillId="2" borderId="1" xfId="1" applyFont="1" applyFill="1" applyBorder="1" applyAlignment="1">
      <alignment wrapText="1"/>
    </xf>
    <xf numFmtId="164" fontId="2" fillId="2" borderId="1" xfId="1" applyFont="1" applyFill="1" applyBorder="1" applyAlignment="1">
      <alignment horizontal="center" wrapText="1"/>
    </xf>
    <xf numFmtId="164" fontId="0" fillId="2" borderId="1" xfId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wrapText="1"/>
    </xf>
    <xf numFmtId="16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1" applyFont="1" applyFill="1" applyBorder="1" applyAlignment="1">
      <alignment wrapText="1"/>
    </xf>
    <xf numFmtId="16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164" fontId="3" fillId="4" borderId="1" xfId="1" applyFont="1" applyFill="1" applyBorder="1" applyAlignment="1">
      <alignment horizontal="right" wrapText="1"/>
    </xf>
    <xf numFmtId="16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164" fontId="9" fillId="4" borderId="1" xfId="1" applyFont="1" applyFill="1" applyBorder="1" applyAlignment="1">
      <alignment horizontal="right" wrapText="1"/>
    </xf>
    <xf numFmtId="16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164" fontId="0" fillId="4" borderId="1" xfId="1" applyFont="1" applyFill="1" applyBorder="1" applyAlignment="1">
      <alignment wrapText="1"/>
    </xf>
    <xf numFmtId="164" fontId="12" fillId="4" borderId="1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4" fillId="3" borderId="4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1" fillId="4" borderId="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16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16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6" fillId="0" borderId="2" xfId="0" applyFont="1" applyFill="1" applyBorder="1"/>
    <xf numFmtId="164" fontId="1" fillId="0" borderId="1" xfId="1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right" wrapText="1"/>
    </xf>
    <xf numFmtId="4" fontId="0" fillId="2" borderId="1" xfId="0" applyNumberForma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wrapText="1"/>
    </xf>
    <xf numFmtId="164" fontId="0" fillId="0" borderId="1" xfId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0;&#1047;%20&#1089;&#1090;&#1086;&#1083;&#1086;&#1074;&#1086;&#1081;%20&#1085;&#1072;%20150%20&#1087;&#1086;&#1089;&#1072;&#1076;.&#1084;&#1077;&#1089;&#1090;%20&#1074;%20&#1071;&#1082;&#1091;&#1090;&#1080;&#1080;/&#1057;&#1084;&#1077;&#1090;&#1072;%20&#1085;&#1072;%20&#1050;&#1047;%20&#1089;&#1090;&#1086;&#1083;&#1086;&#1074;&#1086;&#1081;%20&#1085;&#1072;%20150%20&#1087;&#1086;&#1089;&#1072;&#1076;.&#1084;&#1077;&#1089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Фундаменты'!$A$1:$C$56" sheetId="2"/>
      <definedName name="Прайс" refersTo="='Кровля'!$A$1:$C$60" sheetId="6"/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</row>
        <row r="2">
          <cell r="A2" t="str">
            <v>Конструкции металлические въездных пандусов 1,2м</v>
          </cell>
        </row>
        <row r="3">
          <cell r="A3" t="str">
            <v>Конструкции металлические крыльц 1,2м</v>
          </cell>
        </row>
        <row r="4">
          <cell r="A4" t="str">
            <v>Конструкции металлические навеса</v>
          </cell>
        </row>
        <row r="5">
          <cell r="A5" t="str">
            <v>Конструкции металлические ограждения</v>
          </cell>
        </row>
        <row r="6">
          <cell r="A6" t="str">
            <v>Крыльца 1,2м</v>
          </cell>
        </row>
        <row r="7">
          <cell r="A7" t="str">
            <v>Лестница для 2-х эт здания - 0,95тн</v>
          </cell>
        </row>
        <row r="8">
          <cell r="A8" t="str">
            <v>Металлоконструкции входного крыльца - 2,3х2,3м - 0,4тн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</row>
        <row r="11">
          <cell r="A11" t="str">
            <v>Монтаж металлоконструкций крыльц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Кран-балки"/>
      <sheetName val="Проч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-</v>
          </cell>
        </row>
        <row r="2">
          <cell r="A2" t="str">
            <v xml:space="preserve">СТЕНЫ </v>
          </cell>
        </row>
        <row r="3">
          <cell r="A3" t="str">
            <v>Панели ПВХ , 165р/м2</v>
          </cell>
        </row>
        <row r="4">
          <cell r="A4" t="str">
            <v>Панель МДФ Кроностар Стандарт, 173р/м2</v>
          </cell>
        </row>
        <row r="5">
          <cell r="A5" t="str">
            <v>Панель стеновая МДФ Бук восточный 2700*240*6, 163р/м2</v>
          </cell>
        </row>
        <row r="6">
          <cell r="A6" t="str">
            <v>Вагонка ПВХ Белая 100 мм (для помещ.с влажным режимом), 120р/м2</v>
          </cell>
        </row>
        <row r="7">
          <cell r="A7" t="str">
            <v>Плитка настенная Береста желтая 20*30, 414р/м2</v>
          </cell>
        </row>
        <row r="8">
          <cell r="A8" t="str">
            <v>Плитка настенная Сахара песочная 25*33, 356р/м2</v>
          </cell>
        </row>
        <row r="9">
          <cell r="A9" t="str">
            <v>Керабуд Оникс 3</v>
          </cell>
        </row>
        <row r="10">
          <cell r="A10" t="str">
            <v>Стекломагниевый лист, 130р/м2</v>
          </cell>
        </row>
        <row r="11">
          <cell r="A11" t="str">
            <v>ЕвроВагонка 14х90х2500, 235р/м2</v>
          </cell>
        </row>
        <row r="12">
          <cell r="A12" t="str">
            <v>Существующие стены перегородок, без облицовки</v>
          </cell>
        </row>
        <row r="13">
          <cell r="A13" t="str">
            <v>Комплектующие для подсистемы (кронштейны, профиль, соединители, саморезы)</v>
          </cell>
        </row>
        <row r="14">
          <cell r="A14" t="str">
            <v>Монтаж облицовки стен кафелем</v>
          </cell>
        </row>
        <row r="15">
          <cell r="A15" t="str">
            <v>Монтаж облицовки стен панелями, вагонкой</v>
          </cell>
        </row>
        <row r="16">
          <cell r="A16" t="str">
            <v>ПОЛ</v>
          </cell>
        </row>
        <row r="17">
          <cell r="A17" t="str">
            <v>Линолеум</v>
          </cell>
        </row>
        <row r="18">
          <cell r="A18" t="str">
            <v>Кафель для пола</v>
          </cell>
        </row>
        <row r="19">
          <cell r="A19" t="str">
            <v>Плитка для пола керабуд Астория 3П 30*30, 539р/м2</v>
          </cell>
        </row>
        <row r="20">
          <cell r="A20" t="str">
            <v>Плитка для пола Соло Крема 300*300, 599р/м2</v>
          </cell>
        </row>
        <row r="21">
          <cell r="A21" t="str">
            <v>Просечно-вытяжной лист 410 от производителя, Ст3 (венткамера, эл.щитовая, тепловой узел)</v>
          </cell>
        </row>
        <row r="22">
          <cell r="A22" t="str">
            <v>Монтаж стального покрытия</v>
          </cell>
        </row>
        <row r="23">
          <cell r="A23" t="str">
            <v>Укладка линолиума, плинтусов, порожкев</v>
          </cell>
        </row>
        <row r="24">
          <cell r="A24" t="str">
            <v>Укладка кафеля на пол</v>
          </cell>
        </row>
        <row r="25">
          <cell r="A25" t="str">
            <v>ПОТОЛОК</v>
          </cell>
        </row>
        <row r="26">
          <cell r="A26" t="str">
            <v>Панели ПВХ (для помещений с влажным режимом)</v>
          </cell>
        </row>
        <row r="27">
          <cell r="A27" t="str">
            <v>ЕвроВагонка 14х90х2500</v>
          </cell>
        </row>
        <row r="28">
          <cell r="A28" t="str">
            <v>Армстронг, 165р/м2</v>
          </cell>
        </row>
        <row r="29">
          <cell r="A29" t="str">
            <v>Подвесные потолки Армстронг Scala (Скала) 600*600*12 (кромка Board), 280р/м2</v>
          </cell>
        </row>
        <row r="30">
          <cell r="A30" t="str">
            <v>Подвесные потолки Армстронг OASIS Plus (Оазис плюс) 600*600*12 (кромка Board), 300р/м2</v>
          </cell>
        </row>
        <row r="31">
          <cell r="A31" t="str">
            <v>Подвесные потолки Армстронг OASIS (Оазис) 600*600*12 (кромка Board), 168р/м2</v>
          </cell>
        </row>
        <row r="32">
          <cell r="A32" t="str">
            <v>Существующие конструкции потолка</v>
          </cell>
        </row>
        <row r="33">
          <cell r="A33" t="str">
            <v>Комплектующие для подсистемы (кронштейны, профиль, соединители, саморезы...)</v>
          </cell>
        </row>
        <row r="34">
          <cell r="A34" t="str">
            <v>Монтаж облицовки потолков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Наружные стены и модули'!$A$1:$C$108" sheetId="5"/>
    </definedNames>
    <sheetDataSet>
      <sheetData sheetId="0">
        <row r="1">
          <cell r="A1" t="str">
            <v>Здание овощехранилища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  <row r="58">
          <cell r="A58" t="str">
            <v>Тамбур 2*1,5м, б=250мм</v>
          </cell>
          <cell r="B58" t="str">
            <v>к-т</v>
          </cell>
          <cell r="C58">
            <v>38367</v>
          </cell>
        </row>
        <row r="59">
          <cell r="A59" t="str">
            <v>Полный модуль, 6,229х2,434м, 200/300/250</v>
          </cell>
          <cell r="B59" t="str">
            <v>к-т</v>
          </cell>
          <cell r="C59">
            <v>212625</v>
          </cell>
        </row>
        <row r="60">
          <cell r="A60" t="str">
            <v>Модуль без 1 длинной стороны, 6,229х2,434м, 200/300/250</v>
          </cell>
          <cell r="B60" t="str">
            <v>к-т</v>
          </cell>
          <cell r="C60">
            <v>187110</v>
          </cell>
        </row>
        <row r="61">
          <cell r="A61" t="str">
            <v>Модуль без 1 короткой стороны, 6,229х2,434м, 200/300/250</v>
          </cell>
          <cell r="B61" t="str">
            <v>к-т</v>
          </cell>
          <cell r="C61">
            <v>201993.75</v>
          </cell>
        </row>
        <row r="62">
          <cell r="A62" t="str">
            <v>Модуль без 2 длинных сторон, 6,229х2,434м, 200/300/250</v>
          </cell>
          <cell r="B62" t="str">
            <v>к-т</v>
          </cell>
          <cell r="C62">
            <v>159468.75</v>
          </cell>
        </row>
        <row r="63">
          <cell r="A63" t="str">
            <v>Модуль без 2 коротких сторон, 6,229х2,434м, 200/300/250</v>
          </cell>
          <cell r="B63" t="str">
            <v>к-т</v>
          </cell>
          <cell r="C63">
            <v>180731.25</v>
          </cell>
        </row>
        <row r="64">
          <cell r="A64" t="str">
            <v>Модуль без 1 длинной и 1короткой стороны, 6,229х2,434м, 200/300/250</v>
          </cell>
          <cell r="B64" t="str">
            <v>к-т</v>
          </cell>
          <cell r="C64">
            <v>172226.25</v>
          </cell>
        </row>
        <row r="65">
          <cell r="A65" t="str">
            <v>Модуль без 2 длинных и 1короткой стороны, 6,229х2,434м, 200/300/250</v>
          </cell>
          <cell r="B65" t="str">
            <v>к-т</v>
          </cell>
          <cell r="C65">
            <v>153090</v>
          </cell>
        </row>
        <row r="66">
          <cell r="A66" t="str">
            <v>Модуль без 2 коротких и 1длинной стороны, 6,229х2,434м, 200/300/250</v>
          </cell>
          <cell r="B66" t="str">
            <v>к-т</v>
          </cell>
          <cell r="C66">
            <v>170100</v>
          </cell>
        </row>
        <row r="67">
          <cell r="A67" t="str">
            <v>Кассета кровли, б=300мм</v>
          </cell>
          <cell r="B67" t="str">
            <v>м2</v>
          </cell>
          <cell r="C67">
            <v>3412.5</v>
          </cell>
        </row>
        <row r="68">
          <cell r="A68" t="str">
            <v>Кассета пола, б=250мм</v>
          </cell>
          <cell r="B68" t="str">
            <v>м2</v>
          </cell>
          <cell r="C68">
            <v>3255</v>
          </cell>
        </row>
        <row r="69">
          <cell r="A69" t="str">
            <v>Тамбур 2*2м, 200/300/250</v>
          </cell>
          <cell r="B69" t="str">
            <v>к-т</v>
          </cell>
          <cell r="C69">
            <v>52920</v>
          </cell>
        </row>
        <row r="70">
          <cell r="A70" t="str">
            <v>Тамбур 2*1,5м, 200/300/250</v>
          </cell>
          <cell r="B70" t="str">
            <v>к-т</v>
          </cell>
          <cell r="C70">
            <v>39690</v>
          </cell>
        </row>
        <row r="71">
          <cell r="A71" t="str">
            <v>Полный модуль, 6,229х2,434м, 150/200/200</v>
          </cell>
          <cell r="B71" t="str">
            <v>к-т</v>
          </cell>
          <cell r="C71">
            <v>179313.75</v>
          </cell>
        </row>
        <row r="72">
          <cell r="A72" t="str">
            <v>Модуль без 1 длинной стороны, 6,229х2,434м, 150/200/200</v>
          </cell>
          <cell r="B72" t="str">
            <v>к-т</v>
          </cell>
          <cell r="C72">
            <v>157796.1</v>
          </cell>
        </row>
        <row r="73">
          <cell r="A73" t="str">
            <v>Модуль без 1 короткой стороны, 6,229х2,434м, 150/200/200</v>
          </cell>
          <cell r="B73" t="str">
            <v>к-т</v>
          </cell>
          <cell r="C73">
            <v>170347.80000000002</v>
          </cell>
        </row>
        <row r="74">
          <cell r="A74" t="str">
            <v>Модуль без 2 длинных сторон, 6,229х2,434м, 150/200/200</v>
          </cell>
          <cell r="B74" t="str">
            <v>к-т</v>
          </cell>
          <cell r="C74">
            <v>134485.05000000002</v>
          </cell>
        </row>
        <row r="75">
          <cell r="A75" t="str">
            <v>Модуль без 2 коротких сторон, 6,229х2,434м, 150/200/200</v>
          </cell>
          <cell r="B75" t="str">
            <v>к-т</v>
          </cell>
          <cell r="C75">
            <v>152416.95000000001</v>
          </cell>
        </row>
        <row r="76">
          <cell r="A76" t="str">
            <v>Модуль без 1 длинной и 1короткой стороны, 6,229х2,434м, 150/200/200</v>
          </cell>
          <cell r="B76" t="str">
            <v>к-т</v>
          </cell>
          <cell r="C76">
            <v>145244.4</v>
          </cell>
        </row>
        <row r="77">
          <cell r="A77" t="str">
            <v>Модуль без 2 длинных и 1короткой стороны, 6,229х2,434м, 150/200/200</v>
          </cell>
          <cell r="B77" t="str">
            <v>к-т</v>
          </cell>
          <cell r="C77">
            <v>129105.90000000001</v>
          </cell>
        </row>
        <row r="78">
          <cell r="A78" t="str">
            <v>Модуль без 2 коротких и 1длинной стороны, 6,229х2,434м, 150/200/200</v>
          </cell>
          <cell r="B78" t="str">
            <v>к-т</v>
          </cell>
          <cell r="C78">
            <v>143451</v>
          </cell>
        </row>
        <row r="79">
          <cell r="A79" t="str">
            <v>Кассета кровли, б=200мм</v>
          </cell>
          <cell r="B79" t="str">
            <v>м2</v>
          </cell>
          <cell r="C79">
            <v>3097.5</v>
          </cell>
        </row>
        <row r="80">
          <cell r="A80" t="str">
            <v>Кассета пола, б=200мм</v>
          </cell>
          <cell r="B80" t="str">
            <v>м2</v>
          </cell>
          <cell r="C80">
            <v>3097.5</v>
          </cell>
        </row>
        <row r="81">
          <cell r="A81" t="str">
            <v>Тамбур 2*2м, 200/300/250</v>
          </cell>
          <cell r="B81" t="str">
            <v>к-т</v>
          </cell>
          <cell r="C81">
            <v>44629.200000000004</v>
          </cell>
        </row>
        <row r="82">
          <cell r="A82" t="str">
            <v>Тамбур 2*1,5м, 200/300/250</v>
          </cell>
          <cell r="B82" t="str">
            <v>к-т</v>
          </cell>
          <cell r="C82">
            <v>33471.9</v>
          </cell>
        </row>
        <row r="83">
          <cell r="A83" t="str">
            <v>Цоколь</v>
          </cell>
          <cell r="B83" t="str">
            <v>к-т</v>
          </cell>
          <cell r="C83">
            <v>55</v>
          </cell>
        </row>
        <row r="84">
          <cell r="A84">
            <v>0</v>
          </cell>
          <cell r="B84">
            <v>0</v>
          </cell>
          <cell r="C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</sheetData>
      <sheetData sheetId="6">
        <row r="1">
          <cell r="C1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  <sheetData sheetId="20">
        <row r="1">
          <cell r="A1" t="str">
            <v>-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tabSelected="1" zoomScaleNormal="100" workbookViewId="0">
      <selection activeCell="D9" sqref="D9"/>
    </sheetView>
  </sheetViews>
  <sheetFormatPr defaultRowHeight="15"/>
  <cols>
    <col min="1" max="1" width="5.85546875" style="4" customWidth="1"/>
    <col min="2" max="2" width="61.42578125" customWidth="1"/>
    <col min="3" max="3" width="17.42578125" style="2" customWidth="1"/>
    <col min="4" max="4" width="15.85546875" style="2" customWidth="1"/>
    <col min="5" max="5" width="15" customWidth="1"/>
    <col min="6" max="6" width="23" style="2" customWidth="1"/>
  </cols>
  <sheetData>
    <row r="1" spans="1:6" ht="34.5" customHeight="1">
      <c r="A1" s="82" t="str">
        <f>C2</f>
        <v>Столовая на 40 посадочных мест</v>
      </c>
      <c r="B1" s="82"/>
      <c r="C1" s="83" t="str">
        <f>C3</f>
        <v>ЗАО "ФАРН"</v>
      </c>
      <c r="D1" s="83"/>
      <c r="E1" s="83"/>
      <c r="F1" s="83"/>
    </row>
    <row r="2" spans="1:6">
      <c r="A2" s="44">
        <v>1</v>
      </c>
      <c r="B2" s="45" t="s">
        <v>2</v>
      </c>
      <c r="C2" s="74" t="s">
        <v>44</v>
      </c>
      <c r="D2" s="74"/>
      <c r="E2" s="74"/>
      <c r="F2" s="74"/>
    </row>
    <row r="3" spans="1:6">
      <c r="A3" s="44">
        <v>2</v>
      </c>
      <c r="B3" s="45" t="s">
        <v>0</v>
      </c>
      <c r="C3" s="74" t="s">
        <v>43</v>
      </c>
      <c r="D3" s="74"/>
      <c r="E3" s="74"/>
      <c r="F3" s="74"/>
    </row>
    <row r="4" spans="1:6">
      <c r="A4" s="44">
        <v>3</v>
      </c>
      <c r="B4" s="45" t="s">
        <v>1</v>
      </c>
      <c r="C4" s="74" t="s">
        <v>45</v>
      </c>
      <c r="D4" s="74"/>
      <c r="E4" s="74"/>
      <c r="F4" s="74"/>
    </row>
    <row r="5" spans="1:6">
      <c r="A5" s="44">
        <v>4</v>
      </c>
      <c r="B5" s="45" t="s">
        <v>33</v>
      </c>
      <c r="C5" s="75" t="s">
        <v>46</v>
      </c>
      <c r="D5" s="76"/>
      <c r="E5" s="76"/>
      <c r="F5" s="77"/>
    </row>
    <row r="6" spans="1:6" ht="15" customHeight="1">
      <c r="A6" s="44">
        <v>5</v>
      </c>
      <c r="B6" s="45" t="s">
        <v>48</v>
      </c>
      <c r="C6" s="74" t="s">
        <v>50</v>
      </c>
      <c r="D6" s="74"/>
      <c r="E6" s="43" t="s">
        <v>47</v>
      </c>
      <c r="F6" s="65">
        <f>14.68*15.458</f>
        <v>226.92344</v>
      </c>
    </row>
    <row r="7" spans="1:6" ht="15" customHeight="1">
      <c r="A7" s="80">
        <v>6</v>
      </c>
      <c r="B7" s="78" t="s">
        <v>3</v>
      </c>
      <c r="C7" s="75"/>
      <c r="D7" s="77"/>
      <c r="E7" s="43" t="s">
        <v>49</v>
      </c>
      <c r="F7" s="46">
        <v>2.5</v>
      </c>
    </row>
    <row r="8" spans="1:6" ht="15" customHeight="1">
      <c r="A8" s="81"/>
      <c r="B8" s="79"/>
      <c r="C8" s="75" t="s">
        <v>99</v>
      </c>
      <c r="D8" s="76"/>
      <c r="E8" s="76"/>
      <c r="F8" s="77"/>
    </row>
    <row r="9" spans="1:6" ht="37.5">
      <c r="A9" s="3">
        <v>7</v>
      </c>
      <c r="B9" s="5" t="s">
        <v>6</v>
      </c>
      <c r="C9" s="5" t="s">
        <v>8</v>
      </c>
      <c r="D9" s="5" t="s">
        <v>7</v>
      </c>
      <c r="E9" s="5" t="s">
        <v>9</v>
      </c>
      <c r="F9" s="5" t="s">
        <v>10</v>
      </c>
    </row>
    <row r="10" spans="1:6" ht="18.75">
      <c r="A10" s="3">
        <v>8</v>
      </c>
      <c r="B10" s="6" t="s">
        <v>20</v>
      </c>
      <c r="C10" s="5"/>
      <c r="D10" s="5"/>
      <c r="E10" s="5"/>
      <c r="F10" s="5"/>
    </row>
    <row r="11" spans="1:6">
      <c r="A11" s="3">
        <v>9</v>
      </c>
      <c r="B11" s="7" t="s">
        <v>21</v>
      </c>
      <c r="C11" s="14" t="s">
        <v>22</v>
      </c>
      <c r="D11" s="14">
        <v>16</v>
      </c>
      <c r="E11" s="11">
        <v>170</v>
      </c>
      <c r="F11" s="10">
        <f>D11*E11</f>
        <v>2720</v>
      </c>
    </row>
    <row r="12" spans="1:6">
      <c r="A12" s="3">
        <v>10</v>
      </c>
      <c r="B12" s="7" t="s">
        <v>34</v>
      </c>
      <c r="C12" s="14" t="s">
        <v>13</v>
      </c>
      <c r="D12" s="14">
        <v>38</v>
      </c>
      <c r="E12" s="11">
        <v>5500</v>
      </c>
      <c r="F12" s="10">
        <f t="shared" ref="F12:F16" si="0">D12*E12</f>
        <v>209000</v>
      </c>
    </row>
    <row r="13" spans="1:6">
      <c r="A13" s="3">
        <v>11</v>
      </c>
      <c r="B13" s="7" t="s">
        <v>38</v>
      </c>
      <c r="C13" s="14" t="s">
        <v>23</v>
      </c>
      <c r="D13" s="14">
        <f>D12*0.5</f>
        <v>19</v>
      </c>
      <c r="E13" s="11">
        <v>2000</v>
      </c>
      <c r="F13" s="10">
        <f t="shared" si="0"/>
        <v>38000</v>
      </c>
    </row>
    <row r="14" spans="1:6">
      <c r="A14" s="3">
        <v>12</v>
      </c>
      <c r="B14" s="7" t="s">
        <v>35</v>
      </c>
      <c r="C14" s="14" t="s">
        <v>13</v>
      </c>
      <c r="D14" s="14">
        <f>D12</f>
        <v>38</v>
      </c>
      <c r="E14" s="11">
        <v>250</v>
      </c>
      <c r="F14" s="10">
        <f t="shared" si="0"/>
        <v>9500</v>
      </c>
    </row>
    <row r="15" spans="1:6">
      <c r="A15" s="3"/>
      <c r="B15" s="7" t="s">
        <v>68</v>
      </c>
      <c r="C15" s="14" t="s">
        <v>11</v>
      </c>
      <c r="D15" s="66">
        <f>18.4*(14.68*4+15.458*7)/1000</f>
        <v>3.0714383999999995</v>
      </c>
      <c r="E15" s="11">
        <v>7000</v>
      </c>
      <c r="F15" s="67">
        <f t="shared" si="0"/>
        <v>21500.068799999997</v>
      </c>
    </row>
    <row r="16" spans="1:6">
      <c r="A16" s="3"/>
      <c r="B16" s="7" t="s">
        <v>69</v>
      </c>
      <c r="C16" s="14" t="str">
        <f>VLOOKUP(B16,[1]Фундаменты!Прайс,2,FALSE)</f>
        <v>тн</v>
      </c>
      <c r="D16" s="66">
        <f>D15</f>
        <v>3.0714383999999995</v>
      </c>
      <c r="E16" s="11">
        <v>33500</v>
      </c>
      <c r="F16" s="67">
        <f t="shared" si="0"/>
        <v>102893.18639999998</v>
      </c>
    </row>
    <row r="17" spans="1:6">
      <c r="A17" s="3">
        <v>13</v>
      </c>
      <c r="B17" s="8" t="s">
        <v>4</v>
      </c>
      <c r="C17" s="15"/>
      <c r="D17" s="15"/>
      <c r="E17" s="12"/>
      <c r="F17" s="16">
        <f>SUM(F10:F16)</f>
        <v>383613.25520000001</v>
      </c>
    </row>
    <row r="18" spans="1:6" ht="18.75">
      <c r="A18" s="3">
        <v>14</v>
      </c>
      <c r="B18" s="6" t="s">
        <v>27</v>
      </c>
      <c r="C18" s="5"/>
      <c r="D18" s="5"/>
      <c r="E18" s="5"/>
      <c r="F18" s="5"/>
    </row>
    <row r="19" spans="1:6">
      <c r="A19" s="3">
        <v>19</v>
      </c>
      <c r="B19" s="7" t="s">
        <v>18</v>
      </c>
      <c r="C19" s="14" t="s">
        <v>13</v>
      </c>
      <c r="D19" s="14">
        <v>12</v>
      </c>
      <c r="E19" s="11">
        <v>2000</v>
      </c>
      <c r="F19" s="10">
        <f>D19*E19</f>
        <v>24000</v>
      </c>
    </row>
    <row r="20" spans="1:6">
      <c r="A20" s="3">
        <v>20</v>
      </c>
      <c r="B20" s="7" t="s">
        <v>17</v>
      </c>
      <c r="C20" s="14" t="s">
        <v>13</v>
      </c>
      <c r="D20" s="14">
        <v>12</v>
      </c>
      <c r="E20" s="11">
        <v>1500</v>
      </c>
      <c r="F20" s="10">
        <f>D20*E20</f>
        <v>18000</v>
      </c>
    </row>
    <row r="21" spans="1:6" ht="18.75" customHeight="1">
      <c r="A21" s="3">
        <v>15</v>
      </c>
      <c r="B21" s="7" t="s">
        <v>65</v>
      </c>
      <c r="C21" s="14" t="s">
        <v>13</v>
      </c>
      <c r="D21" s="14">
        <v>4</v>
      </c>
      <c r="E21" s="11">
        <v>138328</v>
      </c>
      <c r="F21" s="10">
        <f t="shared" ref="F21" si="1">D21*E21</f>
        <v>553312</v>
      </c>
    </row>
    <row r="22" spans="1:6">
      <c r="A22" s="3">
        <v>16</v>
      </c>
      <c r="B22" s="7" t="s">
        <v>64</v>
      </c>
      <c r="C22" s="14" t="s">
        <v>13</v>
      </c>
      <c r="D22" s="14">
        <v>8</v>
      </c>
      <c r="E22" s="11">
        <v>122958</v>
      </c>
      <c r="F22" s="10">
        <f t="shared" ref="F22:F24" si="2">D22*E22</f>
        <v>983664</v>
      </c>
    </row>
    <row r="23" spans="1:6">
      <c r="A23" s="3"/>
      <c r="B23" s="7" t="s">
        <v>66</v>
      </c>
      <c r="C23" s="14" t="str">
        <f>VLOOKUP(B23,'[3]Наружные стены и модули'!Прайс,2,FALSE)</f>
        <v>м2</v>
      </c>
      <c r="D23" s="64">
        <f>3*14.28</f>
        <v>42.839999999999996</v>
      </c>
      <c r="E23" s="11">
        <v>3097.5</v>
      </c>
      <c r="F23" s="10">
        <f t="shared" si="2"/>
        <v>132696.9</v>
      </c>
    </row>
    <row r="24" spans="1:6">
      <c r="A24" s="3">
        <v>17</v>
      </c>
      <c r="B24" s="7" t="s">
        <v>67</v>
      </c>
      <c r="C24" s="14" t="str">
        <f>VLOOKUP(B24,'[3]Наружные стены и модули'!Прайс,2,FALSE)</f>
        <v>м2</v>
      </c>
      <c r="D24" s="64">
        <f>D23</f>
        <v>42.839999999999996</v>
      </c>
      <c r="E24" s="11">
        <v>3097.5</v>
      </c>
      <c r="F24" s="10">
        <f t="shared" si="2"/>
        <v>132696.9</v>
      </c>
    </row>
    <row r="25" spans="1:6">
      <c r="A25" s="3">
        <v>18</v>
      </c>
      <c r="B25" s="7" t="s">
        <v>16</v>
      </c>
      <c r="C25" s="14" t="s">
        <v>12</v>
      </c>
      <c r="D25" s="64">
        <f>(14.68*2+15.458*2)*0.7</f>
        <v>42.193199999999997</v>
      </c>
      <c r="E25" s="11">
        <v>620</v>
      </c>
      <c r="F25" s="10">
        <f>D25*E25</f>
        <v>26159.784</v>
      </c>
    </row>
    <row r="26" spans="1:6">
      <c r="A26" s="3">
        <v>22</v>
      </c>
      <c r="B26" s="8" t="s">
        <v>4</v>
      </c>
      <c r="C26" s="15"/>
      <c r="D26" s="15"/>
      <c r="E26" s="12"/>
      <c r="F26" s="16">
        <f>SUM(F19:F25)</f>
        <v>1870529.5839999998</v>
      </c>
    </row>
    <row r="27" spans="1:6" ht="15.75">
      <c r="A27" s="3">
        <v>27</v>
      </c>
      <c r="B27" s="6" t="s">
        <v>28</v>
      </c>
      <c r="C27" s="13"/>
      <c r="D27" s="13"/>
      <c r="E27" s="9"/>
      <c r="F27" s="10"/>
    </row>
    <row r="28" spans="1:6" ht="16.5" customHeight="1">
      <c r="A28" s="3">
        <v>28</v>
      </c>
      <c r="B28" s="7" t="s">
        <v>70</v>
      </c>
      <c r="C28" s="14" t="str">
        <f>VLOOKUP(B28,[4]Кровля!Прайс,2,FALSE)</f>
        <v>тн</v>
      </c>
      <c r="D28" s="66">
        <f>0.009*F6</f>
        <v>2.04231096</v>
      </c>
      <c r="E28" s="11">
        <v>42000</v>
      </c>
      <c r="F28" s="10">
        <f>D28*E28</f>
        <v>85777.060320000004</v>
      </c>
    </row>
    <row r="29" spans="1:6">
      <c r="A29" s="3">
        <v>29</v>
      </c>
      <c r="B29" s="7" t="s">
        <v>71</v>
      </c>
      <c r="C29" s="14" t="str">
        <f>VLOOKUP(B29,[4]Кровля!Прайс,2,FALSE)</f>
        <v>м2</v>
      </c>
      <c r="D29" s="66">
        <f>1.1*F6</f>
        <v>249.61578400000002</v>
      </c>
      <c r="E29" s="11">
        <v>370</v>
      </c>
      <c r="F29" s="10">
        <f t="shared" ref="F29:F41" si="3">D29*E29</f>
        <v>92357.840080000009</v>
      </c>
    </row>
    <row r="30" spans="1:6">
      <c r="A30" s="3">
        <v>30</v>
      </c>
      <c r="B30" s="7" t="s">
        <v>72</v>
      </c>
      <c r="C30" s="14" t="str">
        <f>VLOOKUP(B30,[4]Кровля!Прайс,2,FALSE)</f>
        <v>м3</v>
      </c>
      <c r="D30" s="66">
        <f>D29*0.04/4</f>
        <v>2.4961578400000004</v>
      </c>
      <c r="E30" s="11">
        <v>6500</v>
      </c>
      <c r="F30" s="10">
        <f t="shared" si="3"/>
        <v>16225.025960000003</v>
      </c>
    </row>
    <row r="31" spans="1:6" ht="18" customHeight="1">
      <c r="A31" s="3">
        <v>32</v>
      </c>
      <c r="B31" s="7" t="s">
        <v>73</v>
      </c>
      <c r="C31" s="14" t="s">
        <v>74</v>
      </c>
      <c r="D31" s="66">
        <v>31</v>
      </c>
      <c r="E31" s="11">
        <v>650</v>
      </c>
      <c r="F31" s="10">
        <f t="shared" si="3"/>
        <v>20150</v>
      </c>
    </row>
    <row r="32" spans="1:6">
      <c r="A32" s="3"/>
      <c r="B32" s="7" t="s">
        <v>75</v>
      </c>
      <c r="C32" s="14" t="str">
        <f>VLOOKUP(B32,[4]Кровля!Прайс,2,FALSE)</f>
        <v>тн</v>
      </c>
      <c r="D32" s="66">
        <f>D28</f>
        <v>2.04231096</v>
      </c>
      <c r="E32" s="11">
        <v>7000</v>
      </c>
      <c r="F32" s="10">
        <f t="shared" si="3"/>
        <v>14296.176719999999</v>
      </c>
    </row>
    <row r="33" spans="1:6">
      <c r="A33" s="3"/>
      <c r="B33" s="7" t="s">
        <v>76</v>
      </c>
      <c r="C33" s="14" t="str">
        <f>VLOOKUP(B33,[4]Кровля!Прайс,2,FALSE)</f>
        <v>м2</v>
      </c>
      <c r="D33" s="66">
        <f>D29</f>
        <v>249.61578400000002</v>
      </c>
      <c r="E33" s="11">
        <v>250</v>
      </c>
      <c r="F33" s="10">
        <f t="shared" si="3"/>
        <v>62403.946000000004</v>
      </c>
    </row>
    <row r="34" spans="1:6">
      <c r="A34" s="3"/>
      <c r="B34" s="7" t="s">
        <v>77</v>
      </c>
      <c r="C34" s="14" t="str">
        <f>VLOOKUP(B34,[4]Кровля!Прайс,2,FALSE)</f>
        <v>м</v>
      </c>
      <c r="D34" s="66">
        <f>D31</f>
        <v>31</v>
      </c>
      <c r="E34" s="11">
        <f>E31*40%</f>
        <v>260</v>
      </c>
      <c r="F34" s="10">
        <f t="shared" si="3"/>
        <v>8060</v>
      </c>
    </row>
    <row r="35" spans="1:6">
      <c r="A35" s="3"/>
      <c r="B35" s="7" t="s">
        <v>78</v>
      </c>
      <c r="C35" s="14" t="str">
        <f>VLOOKUP(B35,[1]Кровля!Прайс,2,FALSE)</f>
        <v>шт</v>
      </c>
      <c r="D35" s="14">
        <v>6</v>
      </c>
      <c r="E35" s="11">
        <v>250</v>
      </c>
      <c r="F35" s="10">
        <f t="shared" si="3"/>
        <v>1500</v>
      </c>
    </row>
    <row r="36" spans="1:6">
      <c r="A36" s="3"/>
      <c r="B36" s="7" t="s">
        <v>79</v>
      </c>
      <c r="C36" s="14" t="str">
        <f>VLOOKUP(B36,[1]Кровля!Прайс,2,FALSE)</f>
        <v>шт</v>
      </c>
      <c r="D36" s="14">
        <f>D35</f>
        <v>6</v>
      </c>
      <c r="E36" s="11">
        <v>360</v>
      </c>
      <c r="F36" s="10">
        <f t="shared" si="3"/>
        <v>2160</v>
      </c>
    </row>
    <row r="37" spans="1:6">
      <c r="A37" s="3"/>
      <c r="B37" s="7" t="s">
        <v>80</v>
      </c>
      <c r="C37" s="14" t="str">
        <f>VLOOKUP(B37,[1]Кровля!Прайс,2,FALSE)</f>
        <v>м</v>
      </c>
      <c r="D37" s="14">
        <v>15.5</v>
      </c>
      <c r="E37" s="11">
        <v>120</v>
      </c>
      <c r="F37" s="10">
        <f t="shared" si="3"/>
        <v>1860</v>
      </c>
    </row>
    <row r="38" spans="1:6">
      <c r="A38" s="3"/>
      <c r="B38" s="7" t="s">
        <v>81</v>
      </c>
      <c r="C38" s="14" t="s">
        <v>12</v>
      </c>
      <c r="D38" s="14">
        <f>D37*0.4</f>
        <v>6.2</v>
      </c>
      <c r="E38" s="11">
        <v>480</v>
      </c>
      <c r="F38" s="10">
        <f t="shared" si="3"/>
        <v>2976</v>
      </c>
    </row>
    <row r="39" spans="1:6">
      <c r="A39" s="3"/>
      <c r="B39" s="7" t="s">
        <v>82</v>
      </c>
      <c r="C39" s="14" t="str">
        <f>VLOOKUP(B39,[1]Кровля!Прайс,2,FALSE)</f>
        <v>м2</v>
      </c>
      <c r="D39" s="14">
        <f>D37*2*0.8</f>
        <v>24.8</v>
      </c>
      <c r="E39" s="11">
        <v>180</v>
      </c>
      <c r="F39" s="10">
        <f t="shared" si="3"/>
        <v>4464</v>
      </c>
    </row>
    <row r="40" spans="1:6">
      <c r="A40" s="3"/>
      <c r="B40" s="7" t="s">
        <v>83</v>
      </c>
      <c r="C40" s="14" t="str">
        <f>VLOOKUP(B40,[1]Кровля!Прайс,2,FALSE)</f>
        <v>м2</v>
      </c>
      <c r="D40" s="14">
        <f>D39</f>
        <v>24.8</v>
      </c>
      <c r="E40" s="11">
        <v>353</v>
      </c>
      <c r="F40" s="10">
        <f t="shared" si="3"/>
        <v>8754.4</v>
      </c>
    </row>
    <row r="41" spans="1:6">
      <c r="A41" s="3">
        <v>33</v>
      </c>
      <c r="B41" s="7" t="s">
        <v>84</v>
      </c>
      <c r="C41" s="14" t="str">
        <f>VLOOKUP(B41,[1]Кровля!Прайс,2,FALSE)</f>
        <v>компл</v>
      </c>
      <c r="D41" s="66">
        <f>D29</f>
        <v>249.61578400000002</v>
      </c>
      <c r="E41" s="11">
        <v>190</v>
      </c>
      <c r="F41" s="10">
        <f t="shared" si="3"/>
        <v>47426.998960000004</v>
      </c>
    </row>
    <row r="42" spans="1:6">
      <c r="A42" s="3">
        <v>34</v>
      </c>
      <c r="B42" s="8" t="s">
        <v>4</v>
      </c>
      <c r="C42" s="15"/>
      <c r="D42" s="15"/>
      <c r="E42" s="12"/>
      <c r="F42" s="16">
        <f>SUM(F28:F41)</f>
        <v>368411.44804000005</v>
      </c>
    </row>
    <row r="43" spans="1:6" ht="17.25" customHeight="1">
      <c r="A43" s="3">
        <v>35</v>
      </c>
      <c r="B43" s="6" t="s">
        <v>51</v>
      </c>
      <c r="C43" s="13"/>
      <c r="D43" s="13"/>
      <c r="E43" s="9"/>
      <c r="F43" s="10"/>
    </row>
    <row r="44" spans="1:6">
      <c r="A44" s="3">
        <v>36</v>
      </c>
      <c r="B44" s="7" t="s">
        <v>52</v>
      </c>
      <c r="C44" s="14" t="s">
        <v>13</v>
      </c>
      <c r="D44" s="14">
        <v>15</v>
      </c>
      <c r="E44" s="11">
        <v>5000</v>
      </c>
      <c r="F44" s="10">
        <f t="shared" ref="F44:F46" si="4">D44*E44</f>
        <v>75000</v>
      </c>
    </row>
    <row r="45" spans="1:6">
      <c r="A45" s="3">
        <v>38</v>
      </c>
      <c r="B45" s="7" t="s">
        <v>85</v>
      </c>
      <c r="C45" s="14" t="s">
        <v>13</v>
      </c>
      <c r="D45" s="14">
        <v>4</v>
      </c>
      <c r="E45" s="11">
        <v>18000</v>
      </c>
      <c r="F45" s="10">
        <f t="shared" si="4"/>
        <v>72000</v>
      </c>
    </row>
    <row r="46" spans="1:6">
      <c r="A46" s="3">
        <v>39</v>
      </c>
      <c r="B46" s="7" t="s">
        <v>86</v>
      </c>
      <c r="C46" s="14" t="s">
        <v>13</v>
      </c>
      <c r="D46" s="14">
        <f>D44+D45</f>
        <v>19</v>
      </c>
      <c r="E46" s="11">
        <v>1000</v>
      </c>
      <c r="F46" s="10">
        <f t="shared" si="4"/>
        <v>19000</v>
      </c>
    </row>
    <row r="47" spans="1:6">
      <c r="A47" s="3">
        <v>40</v>
      </c>
      <c r="B47" s="8" t="s">
        <v>4</v>
      </c>
      <c r="C47" s="15"/>
      <c r="D47" s="15"/>
      <c r="E47" s="12"/>
      <c r="F47" s="16">
        <f>SUM(F44:F46)</f>
        <v>166000</v>
      </c>
    </row>
    <row r="48" spans="1:6" ht="15.75">
      <c r="A48" s="3">
        <v>41</v>
      </c>
      <c r="B48" s="6" t="s">
        <v>29</v>
      </c>
      <c r="C48" s="13"/>
      <c r="D48" s="13"/>
      <c r="E48" s="9"/>
      <c r="F48" s="10"/>
    </row>
    <row r="49" spans="1:7">
      <c r="A49" s="3">
        <v>42</v>
      </c>
      <c r="B49" s="7" t="s">
        <v>15</v>
      </c>
      <c r="C49" s="14" t="s">
        <v>12</v>
      </c>
      <c r="D49" s="64">
        <f>115.6*(18.5+18.5+18.5+18.5+19+61+18.5+124+75+51+34+24+24+28+33+2816+11+65)*2.5/1000</f>
        <v>999.21749999999997</v>
      </c>
      <c r="E49" s="11">
        <v>1100</v>
      </c>
      <c r="F49" s="10">
        <f>D49*E49</f>
        <v>1099139.25</v>
      </c>
    </row>
    <row r="50" spans="1:7">
      <c r="A50" s="3">
        <v>43</v>
      </c>
      <c r="B50" s="7" t="s">
        <v>19</v>
      </c>
      <c r="C50" s="14" t="s">
        <v>12</v>
      </c>
      <c r="D50" s="64">
        <f>D49</f>
        <v>999.21749999999997</v>
      </c>
      <c r="E50" s="11">
        <v>160</v>
      </c>
      <c r="F50" s="10">
        <f>D50*E50</f>
        <v>159874.79999999999</v>
      </c>
    </row>
    <row r="51" spans="1:7">
      <c r="A51" s="3">
        <v>44</v>
      </c>
      <c r="B51" s="8" t="s">
        <v>4</v>
      </c>
      <c r="C51" s="15"/>
      <c r="D51" s="15"/>
      <c r="E51" s="12"/>
      <c r="F51" s="16">
        <f>SUM(F49:F50)</f>
        <v>1259014.05</v>
      </c>
    </row>
    <row r="52" spans="1:7" ht="19.5" customHeight="1">
      <c r="A52" s="3">
        <v>45</v>
      </c>
      <c r="B52" s="6" t="s">
        <v>41</v>
      </c>
      <c r="C52" s="13"/>
      <c r="D52" s="13"/>
      <c r="E52" s="9"/>
      <c r="F52" s="10"/>
    </row>
    <row r="53" spans="1:7">
      <c r="A53" s="3">
        <v>46</v>
      </c>
      <c r="B53" s="42" t="s">
        <v>55</v>
      </c>
      <c r="C53" s="14"/>
      <c r="D53" s="14"/>
      <c r="E53" s="11"/>
      <c r="F53" s="10"/>
    </row>
    <row r="54" spans="1:7">
      <c r="A54" s="3">
        <v>47</v>
      </c>
      <c r="B54" s="7" t="s">
        <v>53</v>
      </c>
      <c r="C54" s="14" t="s">
        <v>12</v>
      </c>
      <c r="D54" s="14">
        <f>115.6*(18.5*8+38*2+16*4+28*2+20*2+10.5*2)*2.5/1000</f>
        <v>117.045</v>
      </c>
      <c r="E54" s="11">
        <v>180</v>
      </c>
      <c r="F54" s="10">
        <f t="shared" ref="F54:F56" si="5">D54*E54</f>
        <v>21068.1</v>
      </c>
      <c r="G54" t="s">
        <v>98</v>
      </c>
    </row>
    <row r="55" spans="1:7">
      <c r="A55" s="3">
        <v>48</v>
      </c>
      <c r="B55" s="7" t="s">
        <v>54</v>
      </c>
      <c r="C55" s="14" t="s">
        <v>12</v>
      </c>
      <c r="D55" s="14">
        <f>D54</f>
        <v>117.045</v>
      </c>
      <c r="E55" s="11">
        <v>95</v>
      </c>
      <c r="F55" s="10">
        <f t="shared" si="5"/>
        <v>11119.275</v>
      </c>
    </row>
    <row r="56" spans="1:7">
      <c r="A56" s="3"/>
      <c r="B56" s="7" t="s">
        <v>39</v>
      </c>
      <c r="C56" s="14" t="s">
        <v>12</v>
      </c>
      <c r="D56" s="14">
        <f>D54</f>
        <v>117.045</v>
      </c>
      <c r="E56" s="11">
        <v>150</v>
      </c>
      <c r="F56" s="10">
        <f t="shared" si="5"/>
        <v>17556.75</v>
      </c>
    </row>
    <row r="57" spans="1:7">
      <c r="A57" s="3"/>
      <c r="B57" s="42" t="s">
        <v>87</v>
      </c>
      <c r="C57" s="14"/>
      <c r="D57" s="14"/>
      <c r="E57" s="11"/>
      <c r="F57" s="10"/>
    </row>
    <row r="58" spans="1:7">
      <c r="A58" s="3"/>
      <c r="B58" s="7" t="s">
        <v>30</v>
      </c>
      <c r="C58" s="14" t="s">
        <v>12</v>
      </c>
      <c r="D58" s="64">
        <f>(3.15+2.68+6.84+3.29+3.03+4.33+74.73+13.34+28.13+8.18+7.85+17.73+10.37+10.7+8.71+9.05)-D60-D62</f>
        <v>122.70000000000002</v>
      </c>
      <c r="E58" s="11">
        <v>100</v>
      </c>
      <c r="F58" s="10">
        <f>D58*E58</f>
        <v>12270.000000000002</v>
      </c>
    </row>
    <row r="59" spans="1:7">
      <c r="A59" s="3"/>
      <c r="B59" s="7" t="s">
        <v>88</v>
      </c>
      <c r="C59" s="14" t="s">
        <v>12</v>
      </c>
      <c r="D59" s="64">
        <f>F6*0.9-D61-D63</f>
        <v>114.82109600000001</v>
      </c>
      <c r="E59" s="11">
        <v>350</v>
      </c>
      <c r="F59" s="10">
        <f>D59*E59</f>
        <v>40187.383600000001</v>
      </c>
    </row>
    <row r="60" spans="1:7">
      <c r="A60" s="3"/>
      <c r="B60" s="7" t="s">
        <v>62</v>
      </c>
      <c r="C60" s="14" t="str">
        <f>VLOOKUP(B60,[1]Отделка!Прайс,2,FALSE)</f>
        <v>м2</v>
      </c>
      <c r="D60" s="14">
        <f>3.15+3.03</f>
        <v>6.18</v>
      </c>
      <c r="E60" s="11">
        <v>360</v>
      </c>
      <c r="F60" s="10">
        <f t="shared" ref="F60:F64" si="6">D60*E60</f>
        <v>2224.7999999999997</v>
      </c>
    </row>
    <row r="61" spans="1:7">
      <c r="A61" s="3"/>
      <c r="B61" s="7" t="s">
        <v>89</v>
      </c>
      <c r="C61" s="14" t="str">
        <f>VLOOKUP(B61,[1]Отделка!Прайс,2,FALSE)</f>
        <v>м2</v>
      </c>
      <c r="D61" s="14">
        <f>D60</f>
        <v>6.18</v>
      </c>
      <c r="E61" s="11">
        <v>635.85</v>
      </c>
      <c r="F61" s="10">
        <f t="shared" si="6"/>
        <v>3929.5529999999999</v>
      </c>
    </row>
    <row r="62" spans="1:7">
      <c r="A62" s="3"/>
      <c r="B62" s="7" t="s">
        <v>90</v>
      </c>
      <c r="C62" s="14" t="str">
        <f>VLOOKUP(B62,[1]Отделка!Прайс,2,FALSE)</f>
        <v>м2</v>
      </c>
      <c r="D62" s="14">
        <f>(2.68+6.84+3.29+4.33+10.7+8.71+10.37+8.18+28.13)</f>
        <v>83.22999999999999</v>
      </c>
      <c r="E62" s="11">
        <v>450</v>
      </c>
      <c r="F62" s="10">
        <f t="shared" si="6"/>
        <v>37453.499999999993</v>
      </c>
      <c r="G62" t="s">
        <v>96</v>
      </c>
    </row>
    <row r="63" spans="1:7">
      <c r="A63" s="3"/>
      <c r="B63" s="7" t="s">
        <v>91</v>
      </c>
      <c r="C63" s="14" t="str">
        <f>VLOOKUP(B63,[1]Отделка!Прайс,2,FALSE)</f>
        <v>м2</v>
      </c>
      <c r="D63" s="14">
        <f>D62</f>
        <v>83.22999999999999</v>
      </c>
      <c r="E63" s="11">
        <v>599</v>
      </c>
      <c r="F63" s="10">
        <f t="shared" si="6"/>
        <v>49854.77</v>
      </c>
    </row>
    <row r="64" spans="1:7">
      <c r="A64" s="3"/>
      <c r="B64" s="7" t="s">
        <v>92</v>
      </c>
      <c r="C64" s="14" t="str">
        <f>VLOOKUP(B64,[1]Отделка!Прайс,2,FALSE)</f>
        <v>кг</v>
      </c>
      <c r="D64" s="14">
        <f>D62*5</f>
        <v>416.15</v>
      </c>
      <c r="E64" s="11">
        <v>11.7</v>
      </c>
      <c r="F64" s="10">
        <f t="shared" si="6"/>
        <v>4868.954999999999</v>
      </c>
    </row>
    <row r="65" spans="1:7" ht="15.75">
      <c r="A65" s="3"/>
      <c r="B65" s="42" t="s">
        <v>93</v>
      </c>
      <c r="C65" s="13"/>
      <c r="D65" s="13"/>
      <c r="E65" s="9"/>
      <c r="F65" s="10"/>
    </row>
    <row r="66" spans="1:7">
      <c r="A66" s="3">
        <v>49</v>
      </c>
      <c r="B66" s="7" t="s">
        <v>94</v>
      </c>
      <c r="C66" s="14" t="str">
        <f>VLOOKUP(B66,[1]Отделка!Прайс,2,FALSE)</f>
        <v>м2</v>
      </c>
      <c r="D66" s="64">
        <f>D67+D68</f>
        <v>205.93</v>
      </c>
      <c r="E66" s="11">
        <v>180</v>
      </c>
      <c r="F66" s="10">
        <f t="shared" ref="F66:F68" si="7">D66*E66</f>
        <v>37067.4</v>
      </c>
    </row>
    <row r="67" spans="1:7" ht="30">
      <c r="A67" s="3">
        <v>50</v>
      </c>
      <c r="B67" s="7" t="s">
        <v>95</v>
      </c>
      <c r="C67" s="14" t="s">
        <v>12</v>
      </c>
      <c r="D67" s="14">
        <f>2.68+6.84+4.33+8.18</f>
        <v>22.03</v>
      </c>
      <c r="E67" s="11">
        <v>275</v>
      </c>
      <c r="F67" s="10">
        <f t="shared" si="7"/>
        <v>6058.25</v>
      </c>
      <c r="G67" t="s">
        <v>98</v>
      </c>
    </row>
    <row r="68" spans="1:7" ht="30">
      <c r="A68" s="3"/>
      <c r="B68" s="7" t="s">
        <v>97</v>
      </c>
      <c r="C68" s="14" t="s">
        <v>12</v>
      </c>
      <c r="D68" s="64">
        <f>D58+D62-D67</f>
        <v>183.9</v>
      </c>
      <c r="E68" s="11">
        <v>300</v>
      </c>
      <c r="F68" s="10">
        <f t="shared" si="7"/>
        <v>55170</v>
      </c>
    </row>
    <row r="69" spans="1:7">
      <c r="A69" s="3">
        <v>53</v>
      </c>
      <c r="B69" s="8" t="s">
        <v>4</v>
      </c>
      <c r="C69" s="15"/>
      <c r="D69" s="15"/>
      <c r="E69" s="12"/>
      <c r="F69" s="16">
        <f>SUM(F54:F67)</f>
        <v>243658.73659999997</v>
      </c>
    </row>
    <row r="70" spans="1:7" ht="15.75">
      <c r="A70" s="3">
        <v>54</v>
      </c>
      <c r="B70" s="26" t="s">
        <v>14</v>
      </c>
      <c r="C70" s="27"/>
      <c r="D70" s="27"/>
      <c r="E70" s="28"/>
      <c r="F70" s="29">
        <f>SUM(F11:F69)/2</f>
        <v>4318812.0738400016</v>
      </c>
    </row>
    <row r="71" spans="1:7" ht="15.75">
      <c r="A71" s="3">
        <v>55</v>
      </c>
      <c r="B71" s="30" t="s">
        <v>100</v>
      </c>
      <c r="C71" s="63" t="s">
        <v>63</v>
      </c>
      <c r="D71" s="63">
        <v>1</v>
      </c>
      <c r="E71" s="31"/>
      <c r="F71" s="32">
        <f>F70*D71%</f>
        <v>43188.120738400015</v>
      </c>
    </row>
    <row r="72" spans="1:7" ht="21">
      <c r="A72" s="3">
        <v>56</v>
      </c>
      <c r="B72" s="33" t="s">
        <v>24</v>
      </c>
      <c r="C72" s="34"/>
      <c r="D72" s="34"/>
      <c r="E72" s="35"/>
      <c r="F72" s="36">
        <f>F70+F71</f>
        <v>4362000.1945784017</v>
      </c>
    </row>
    <row r="73" spans="1:7" ht="15.75">
      <c r="A73" s="3">
        <v>57</v>
      </c>
      <c r="B73" s="21" t="s">
        <v>31</v>
      </c>
      <c r="C73" s="13"/>
      <c r="D73" s="13"/>
      <c r="E73" s="9"/>
      <c r="F73" s="10"/>
    </row>
    <row r="74" spans="1:7" ht="15.75">
      <c r="A74" s="3">
        <v>58</v>
      </c>
      <c r="B74" s="20" t="s">
        <v>25</v>
      </c>
      <c r="C74" s="14" t="s">
        <v>12</v>
      </c>
      <c r="D74" s="68">
        <f>F6</f>
        <v>226.92344</v>
      </c>
      <c r="E74" s="11">
        <v>650</v>
      </c>
      <c r="F74" s="10">
        <f>D74*E74</f>
        <v>147500.236</v>
      </c>
    </row>
    <row r="75" spans="1:7" ht="15.75">
      <c r="A75" s="3">
        <v>59</v>
      </c>
      <c r="B75" s="20" t="s">
        <v>26</v>
      </c>
      <c r="C75" s="14" t="s">
        <v>12</v>
      </c>
      <c r="D75" s="68">
        <f>F6</f>
        <v>226.92344</v>
      </c>
      <c r="E75" s="11">
        <f>E74*50%</f>
        <v>325</v>
      </c>
      <c r="F75" s="10">
        <f t="shared" ref="F75:F79" si="8">D75*E75</f>
        <v>73750.118000000002</v>
      </c>
    </row>
    <row r="76" spans="1:7" ht="15.75">
      <c r="A76" s="3">
        <v>60</v>
      </c>
      <c r="B76" s="25" t="s">
        <v>58</v>
      </c>
      <c r="C76" s="14" t="s">
        <v>12</v>
      </c>
      <c r="D76" s="68">
        <f>F6</f>
        <v>226.92344</v>
      </c>
      <c r="E76" s="11">
        <v>650</v>
      </c>
      <c r="F76" s="10">
        <f t="shared" si="8"/>
        <v>147500.236</v>
      </c>
    </row>
    <row r="77" spans="1:7" ht="15.75">
      <c r="A77" s="3">
        <v>61</v>
      </c>
      <c r="B77" s="25" t="s">
        <v>57</v>
      </c>
      <c r="C77" s="14" t="s">
        <v>12</v>
      </c>
      <c r="D77" s="68">
        <f>F6</f>
        <v>226.92344</v>
      </c>
      <c r="E77" s="11">
        <f>E76*50%</f>
        <v>325</v>
      </c>
      <c r="F77" s="10">
        <f t="shared" si="8"/>
        <v>73750.118000000002</v>
      </c>
    </row>
    <row r="78" spans="1:7" ht="15.75">
      <c r="A78" s="3">
        <v>62</v>
      </c>
      <c r="B78" s="25" t="s">
        <v>42</v>
      </c>
      <c r="C78" s="14" t="s">
        <v>12</v>
      </c>
      <c r="D78" s="68">
        <f>F6</f>
        <v>226.92344</v>
      </c>
      <c r="E78" s="11">
        <v>750</v>
      </c>
      <c r="F78" s="10">
        <f t="shared" si="8"/>
        <v>170192.58</v>
      </c>
    </row>
    <row r="79" spans="1:7" ht="15.75">
      <c r="A79" s="3">
        <v>63</v>
      </c>
      <c r="B79" s="25" t="s">
        <v>32</v>
      </c>
      <c r="C79" s="14" t="s">
        <v>12</v>
      </c>
      <c r="D79" s="68">
        <f>F6</f>
        <v>226.92344</v>
      </c>
      <c r="E79" s="11">
        <f>E78*50%</f>
        <v>375</v>
      </c>
      <c r="F79" s="10">
        <f t="shared" si="8"/>
        <v>85096.29</v>
      </c>
    </row>
    <row r="80" spans="1:7" ht="15.75">
      <c r="A80" s="3">
        <v>64</v>
      </c>
      <c r="B80" s="23" t="s">
        <v>4</v>
      </c>
      <c r="C80" s="14"/>
      <c r="D80" s="64"/>
      <c r="E80" s="11"/>
      <c r="F80" s="24">
        <f>SUM(F74:F79)</f>
        <v>697789.57799999998</v>
      </c>
    </row>
    <row r="81" spans="1:6" ht="15.75">
      <c r="A81" s="3">
        <v>65</v>
      </c>
      <c r="B81" s="33" t="s">
        <v>36</v>
      </c>
      <c r="C81" s="14" t="s">
        <v>12</v>
      </c>
      <c r="D81" s="64">
        <f>F6</f>
        <v>226.92344</v>
      </c>
      <c r="E81" s="11">
        <v>730</v>
      </c>
      <c r="F81" s="24">
        <f>D81*E81</f>
        <v>165654.11120000001</v>
      </c>
    </row>
    <row r="82" spans="1:6" ht="31.5">
      <c r="A82" s="3">
        <v>66</v>
      </c>
      <c r="B82" s="33" t="s">
        <v>40</v>
      </c>
      <c r="C82" s="37" t="s">
        <v>63</v>
      </c>
      <c r="D82" s="37">
        <v>7</v>
      </c>
      <c r="E82" s="38"/>
      <c r="F82" s="39">
        <f>F72*D82%</f>
        <v>305340.01362048817</v>
      </c>
    </row>
    <row r="83" spans="1:6" ht="46.5">
      <c r="A83" s="3">
        <v>67</v>
      </c>
      <c r="B83" s="17" t="s">
        <v>5</v>
      </c>
      <c r="C83" s="18"/>
      <c r="D83" s="18"/>
      <c r="E83" s="19"/>
      <c r="F83" s="41">
        <f>F72+F80+F81+F82</f>
        <v>5530783.89739889</v>
      </c>
    </row>
    <row r="84" spans="1:6">
      <c r="A84" s="3">
        <v>68</v>
      </c>
      <c r="B84" s="72" t="s">
        <v>37</v>
      </c>
      <c r="C84" s="72"/>
      <c r="D84" s="73"/>
      <c r="E84" s="40">
        <v>5</v>
      </c>
      <c r="F84" s="1"/>
    </row>
    <row r="85" spans="1:6">
      <c r="A85"/>
      <c r="C85"/>
      <c r="D85" s="71" t="s">
        <v>56</v>
      </c>
      <c r="E85" s="71"/>
      <c r="F85" s="47">
        <f>F83/F6</f>
        <v>24372.906991886295</v>
      </c>
    </row>
    <row r="86" spans="1:6">
      <c r="A86" s="48"/>
      <c r="B86" s="49" t="s">
        <v>59</v>
      </c>
      <c r="C86" s="22" t="s">
        <v>63</v>
      </c>
      <c r="D86" s="22">
        <v>40</v>
      </c>
      <c r="E86" s="49"/>
      <c r="F86" s="50">
        <v>0</v>
      </c>
    </row>
    <row r="87" spans="1:6">
      <c r="A87" s="59"/>
      <c r="B87" s="60" t="s">
        <v>60</v>
      </c>
      <c r="C87" s="61"/>
      <c r="D87" s="61">
        <v>5</v>
      </c>
      <c r="E87" s="60">
        <v>110000</v>
      </c>
      <c r="F87" s="62">
        <v>0</v>
      </c>
    </row>
    <row r="88" spans="1:6" ht="21">
      <c r="A88" s="48"/>
      <c r="B88" s="52" t="s">
        <v>61</v>
      </c>
      <c r="C88" s="53"/>
      <c r="D88" s="53"/>
      <c r="E88" s="54"/>
      <c r="F88" s="55">
        <f>F83+F86+F87</f>
        <v>5530783.89739889</v>
      </c>
    </row>
    <row r="89" spans="1:6" ht="21">
      <c r="A89" s="56"/>
      <c r="B89" s="57"/>
      <c r="C89" s="51"/>
      <c r="D89" s="69"/>
      <c r="E89" s="70"/>
      <c r="F89" s="58">
        <f>F88/F6</f>
        <v>24372.906991886295</v>
      </c>
    </row>
  </sheetData>
  <mergeCells count="14">
    <mergeCell ref="A7:A8"/>
    <mergeCell ref="A1:B1"/>
    <mergeCell ref="C1:F1"/>
    <mergeCell ref="C2:F2"/>
    <mergeCell ref="C3:F3"/>
    <mergeCell ref="C6:D6"/>
    <mergeCell ref="D89:E89"/>
    <mergeCell ref="D85:E85"/>
    <mergeCell ref="B84:D84"/>
    <mergeCell ref="C4:F4"/>
    <mergeCell ref="C5:F5"/>
    <mergeCell ref="B7:B8"/>
    <mergeCell ref="C8:F8"/>
    <mergeCell ref="C7:D7"/>
  </mergeCells>
  <dataValidations count="4">
    <dataValidation type="list" allowBlank="1" showInputMessage="1" showErrorMessage="1" sqref="B60:B64 B66:B68">
      <formula1>отделка</formula1>
    </dataValidation>
    <dataValidation type="list" allowBlank="1" showInputMessage="1" showErrorMessage="1" sqref="B23:B24">
      <formula1>наружныестены</formula1>
    </dataValidation>
    <dataValidation type="list" allowBlank="1" showInputMessage="1" showErrorMessage="1" sqref="B15:B16">
      <formula1>Фундаменты</formula1>
    </dataValidation>
    <dataValidation type="list" allowBlank="1" showInputMessage="1" showErrorMessage="1" sqref="B28:B41">
      <formula1>кровля</formula1>
    </dataValidation>
  </dataValidation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Вадим</cp:lastModifiedBy>
  <cp:lastPrinted>2014-01-14T02:44:09Z</cp:lastPrinted>
  <dcterms:created xsi:type="dcterms:W3CDTF">2013-11-27T09:44:20Z</dcterms:created>
  <dcterms:modified xsi:type="dcterms:W3CDTF">2014-07-07T16:05:17Z</dcterms:modified>
</cp:coreProperties>
</file>