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70" windowWidth="2073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25725"/>
</workbook>
</file>

<file path=xl/calcChain.xml><?xml version="1.0" encoding="utf-8"?>
<calcChain xmlns="http://schemas.openxmlformats.org/spreadsheetml/2006/main">
  <c r="F105" i="1"/>
  <c r="D104"/>
  <c r="E87" l="1"/>
  <c r="E85"/>
  <c r="E83"/>
  <c r="F98"/>
  <c r="F97" l="1"/>
  <c r="F102" l="1"/>
  <c r="F101" l="1"/>
  <c r="F100"/>
  <c r="F99"/>
  <c r="D69" l="1"/>
  <c r="D65"/>
  <c r="D57"/>
  <c r="D60"/>
  <c r="D58"/>
  <c r="D52"/>
  <c r="D47"/>
  <c r="D30"/>
  <c r="D24"/>
  <c r="D21"/>
  <c r="D11"/>
  <c r="F6"/>
  <c r="D25" s="1"/>
  <c r="D64" l="1"/>
  <c r="D76" l="1"/>
  <c r="F76" s="1"/>
  <c r="F75"/>
  <c r="F74"/>
  <c r="F73"/>
  <c r="F77" l="1"/>
  <c r="F43"/>
  <c r="F41"/>
  <c r="D35"/>
  <c r="D53" l="1"/>
  <c r="F53" s="1"/>
  <c r="D59"/>
  <c r="D48"/>
  <c r="F93"/>
  <c r="F69"/>
  <c r="F70"/>
  <c r="C68"/>
  <c r="D91"/>
  <c r="F91" s="1"/>
  <c r="D82"/>
  <c r="F82" s="1"/>
  <c r="E89"/>
  <c r="C64"/>
  <c r="C62"/>
  <c r="C60"/>
  <c r="C59"/>
  <c r="C58"/>
  <c r="D37"/>
  <c r="D27"/>
  <c r="C37"/>
  <c r="C36"/>
  <c r="C35"/>
  <c r="D34"/>
  <c r="F34" s="1"/>
  <c r="F33"/>
  <c r="C33"/>
  <c r="D32"/>
  <c r="C32"/>
  <c r="F31"/>
  <c r="C31"/>
  <c r="E29"/>
  <c r="D29"/>
  <c r="C29"/>
  <c r="C28"/>
  <c r="C27"/>
  <c r="F30"/>
  <c r="C26"/>
  <c r="C25"/>
  <c r="C24"/>
  <c r="F21"/>
  <c r="F20"/>
  <c r="F19"/>
  <c r="F17"/>
  <c r="D12"/>
  <c r="F12" s="1"/>
  <c r="F10"/>
  <c r="D28" l="1"/>
  <c r="F28" s="1"/>
  <c r="F68"/>
  <c r="F71" s="1"/>
  <c r="F60"/>
  <c r="D83"/>
  <c r="F59"/>
  <c r="F58"/>
  <c r="F64"/>
  <c r="F65"/>
  <c r="D61"/>
  <c r="D62"/>
  <c r="F62" s="1"/>
  <c r="D54"/>
  <c r="F54" s="1"/>
  <c r="F52"/>
  <c r="F32"/>
  <c r="F29"/>
  <c r="F27"/>
  <c r="F35"/>
  <c r="D36"/>
  <c r="F36" s="1"/>
  <c r="F37"/>
  <c r="F24"/>
  <c r="F25"/>
  <c r="D26"/>
  <c r="F26" s="1"/>
  <c r="F16"/>
  <c r="F18"/>
  <c r="D13"/>
  <c r="F13" s="1"/>
  <c r="F11"/>
  <c r="F103"/>
  <c r="F96"/>
  <c r="F95"/>
  <c r="D56" l="1"/>
  <c r="F56" s="1"/>
  <c r="F61"/>
  <c r="D84"/>
  <c r="F83"/>
  <c r="F94"/>
  <c r="F57" l="1"/>
  <c r="F66" s="1"/>
  <c r="D85"/>
  <c r="F84"/>
  <c r="F14"/>
  <c r="D86" l="1"/>
  <c r="F85"/>
  <c r="F22"/>
  <c r="F1"/>
  <c r="F86" l="1"/>
  <c r="D87"/>
  <c r="F44"/>
  <c r="F48"/>
  <c r="D88" l="1"/>
  <c r="F87"/>
  <c r="F40"/>
  <c r="F42"/>
  <c r="F88" l="1"/>
  <c r="D89"/>
  <c r="F45"/>
  <c r="F89" l="1"/>
  <c r="F90" s="1"/>
  <c r="F47"/>
  <c r="F49" l="1"/>
  <c r="A1"/>
  <c r="F38" l="1"/>
  <c r="F78" s="1"/>
  <c r="F79" l="1"/>
  <c r="F80" s="1"/>
  <c r="F92" l="1"/>
  <c r="F106" s="1"/>
</calcChain>
</file>

<file path=xl/sharedStrings.xml><?xml version="1.0" encoding="utf-8"?>
<sst xmlns="http://schemas.openxmlformats.org/spreadsheetml/2006/main" count="175" uniqueCount="121">
  <si>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</si>
  <si>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</si>
  <si>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</si>
  <si>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</si>
  <si>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</si>
  <si>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</si>
  <si>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</si>
  <si>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</si>
  <si>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</si>
  <si>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</si>
  <si>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</si>
  <si>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</si>
  <si>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</si>
  <si>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</si>
  <si>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</si>
  <si>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</si>
  <si>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Цоколь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</si>
  <si>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</si>
  <si>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</si>
  <si>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</si>
  <si>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</si>
  <si>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</si>
  <si>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</si>
  <si>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</si>
  <si>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</si>
  <si>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</si>
  <si>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</si>
  <si>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</si>
  <si>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</si>
  <si>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</si>
  <si>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</si>
  <si>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</si>
  <si>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</si>
  <si>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</si>
  <si>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</si>
  <si>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</si>
  <si>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</si>
  <si>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</si>
  <si>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</si>
  <si>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</si>
  <si>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</si>
  <si>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</si>
  <si>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</si>
  <si>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 xml:space="preserve">Отопление и вентиляция (материалы) </t>
  </si>
  <si>
    <t>Отопление и вентиляция (монтаж)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</si>
  <si>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</si>
  <si>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</si>
  <si>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</si>
  <si>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</si>
  <si>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</si>
  <si>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Описание модулей: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</si>
  <si>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</si>
  <si>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</si>
  <si>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</si>
  <si>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</si>
  <si>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Раковина + смеситель</t>
  </si>
  <si>
    <t>Поддон душевой со смесителем</t>
  </si>
  <si>
    <t>Винтовые сваи диам.114мм L=3,5м.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</si>
  <si>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</si>
  <si>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</si>
  <si>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</si>
  <si>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</si>
  <si>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</si>
  <si>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</si>
  <si>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</si>
  <si>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</si>
  <si>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</si>
  <si>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</si>
  <si>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</si>
  <si>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</si>
  <si>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</si>
  <si>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</si>
  <si>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</si>
  <si>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</si>
  <si>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</si>
  <si>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</si>
  <si>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</si>
  <si>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</si>
  <si>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</si>
  <si>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</si>
  <si>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</si>
  <si>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</si>
  <si>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</si>
  <si>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</si>
  <si>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</si>
  <si>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Лестница для 2-х эт здания - 0,95тн</t>
  </si>
  <si>
    <t>Двери внутренние двухстворчатые</t>
  </si>
  <si>
    <t>Дверь входная двухстворчатая металлическая</t>
  </si>
  <si>
    <t>Раздел 9. Конструкции тамбура</t>
  </si>
  <si>
    <t>Монтаж металлоконструкций тамбуров</t>
  </si>
  <si>
    <t>тн</t>
  </si>
  <si>
    <t>Металлоконструкции тамбура</t>
  </si>
  <si>
    <t xml:space="preserve">Раздел 10. Инженерные сети </t>
  </si>
  <si>
    <t>Раздел 11. Проектные работы</t>
  </si>
  <si>
    <t>Раздел 13. Аренда автокрана</t>
  </si>
  <si>
    <t>Раздел 14. Сантехническое оборудование:</t>
  </si>
  <si>
    <t>Сэндвич-панели 250 мм</t>
  </si>
  <si>
    <t>Кафель</t>
  </si>
  <si>
    <t>Конструкции металлические крыльц</t>
  </si>
  <si>
    <t>МЗ Столовая на 82 места,</t>
  </si>
  <si>
    <t xml:space="preserve"> Искитимский ЗМ </t>
  </si>
  <si>
    <t>Алматы</t>
  </si>
  <si>
    <t>100/100/100</t>
  </si>
  <si>
    <t>вн. высота 2,6м</t>
  </si>
  <si>
    <t>котельная</t>
  </si>
  <si>
    <t>санузлы, моечная, КУИ</t>
  </si>
  <si>
    <t>санузлы, мытья посуды, горячий цех</t>
  </si>
  <si>
    <t>санузлы, горячий цех, мытья посуды, тамбура</t>
  </si>
  <si>
    <t>Раздел 12. Накладные расходы (шеф-монтаж)</t>
  </si>
  <si>
    <t>Водонагреватель "Аристон", 10л</t>
  </si>
  <si>
    <t>Водонагреватель "Аристон", 50л</t>
  </si>
  <si>
    <t>Водонагреватель "Аристон", 100л</t>
  </si>
  <si>
    <t>Септик 5 м3 с монтажём и присоединением под ключ</t>
  </si>
  <si>
    <t>Элктроконвекторы 1 кВт</t>
  </si>
  <si>
    <t>Электроконвектора 1,5кВт</t>
  </si>
  <si>
    <t>Неучтенные работы и материалы (около 1 %)</t>
  </si>
  <si>
    <t>Модуль без 1 длинной и 1короткой стороны, 6,229х2,434м, 100/100/100</t>
  </si>
  <si>
    <t>Модуль без 2 длинных и 1короткой стороны, 6,229х2,434м, 100/100/100</t>
  </si>
  <si>
    <t>Раздел 15. Доставка</t>
  </si>
  <si>
    <t>рейс</t>
  </si>
  <si>
    <t>-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</si>
</sst>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164" fontId="9" fillId="4" borderId="1" xfId="1" applyFont="1" applyFill="1" applyBorder="1" applyAlignment="1">
      <alignment horizontal="right" wrapText="1"/>
    </xf>
    <xf numFmtId="16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164" fontId="4" fillId="4" borderId="1" xfId="1" applyFont="1" applyFill="1" applyBorder="1" applyAlignment="1">
      <alignment horizontal="center" wrapText="1"/>
    </xf>
    <xf numFmtId="16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164" fontId="17" fillId="0" borderId="1" xfId="1" applyFont="1" applyFill="1" applyBorder="1" applyAlignment="1">
      <alignment wrapText="1"/>
    </xf>
    <xf numFmtId="16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164" fontId="2" fillId="2" borderId="4" xfId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0"/>
  <sheetViews>
    <sheetView tabSelected="1" zoomScaleNormal="100" workbookViewId="0">
      <pane ySplit="8" topLeftCell="A98" activePane="bottomLeft" state="frozen"/>
      <selection pane="bottomLeft" activeCell="F105" sqref="F105"/>
    </sheetView>
  </sheetViews>
  <sheetFormatPr defaultRowHeight="1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>
      <c r="A1" s="67" t="str">
        <f>C2</f>
        <v>МЗ Столовая на 82 места,</v>
      </c>
      <c r="B1" s="67"/>
      <c r="C1" s="67"/>
      <c r="D1" s="67"/>
      <c r="E1" s="67"/>
      <c r="F1" s="46" t="str">
        <f>C3</f>
        <v xml:space="preserve"> Искитимский ЗМ </v>
      </c>
    </row>
    <row r="2" spans="1:6">
      <c r="A2" s="41">
        <v>1</v>
      </c>
      <c r="B2" s="42" t="s">
        <v>2</v>
      </c>
      <c r="C2" s="66" t="s">
        <v>99</v>
      </c>
      <c r="D2" s="66"/>
      <c r="E2" s="66"/>
      <c r="F2" s="66"/>
    </row>
    <row r="3" spans="1:6">
      <c r="A3" s="41">
        <v>2</v>
      </c>
      <c r="B3" s="42" t="s">
        <v>0</v>
      </c>
      <c r="C3" s="66" t="s">
        <v>100</v>
      </c>
      <c r="D3" s="66"/>
      <c r="E3" s="66"/>
      <c r="F3" s="66"/>
    </row>
    <row r="4" spans="1:6" ht="14.25" customHeight="1">
      <c r="A4" s="41">
        <v>3</v>
      </c>
      <c r="B4" s="42" t="s">
        <v>1</v>
      </c>
      <c r="C4" s="69" t="s">
        <v>101</v>
      </c>
      <c r="D4" s="70"/>
      <c r="E4" s="70"/>
      <c r="F4" s="71"/>
    </row>
    <row r="5" spans="1:6" ht="15.75" customHeight="1">
      <c r="A5" s="41">
        <v>4</v>
      </c>
      <c r="B5" s="42" t="s">
        <v>50</v>
      </c>
      <c r="C5" s="69" t="s">
        <v>103</v>
      </c>
      <c r="D5" s="70"/>
      <c r="E5" s="70"/>
      <c r="F5" s="71"/>
    </row>
    <row r="6" spans="1:6" ht="17.25" customHeight="1">
      <c r="A6" s="41">
        <v>5</v>
      </c>
      <c r="B6" s="42" t="s">
        <v>52</v>
      </c>
      <c r="C6" s="66" t="s">
        <v>102</v>
      </c>
      <c r="D6" s="66"/>
      <c r="E6" s="45" t="s">
        <v>51</v>
      </c>
      <c r="F6" s="62">
        <f>39.17*12.472</f>
        <v>488.52823999999998</v>
      </c>
    </row>
    <row r="7" spans="1:6">
      <c r="A7" s="41">
        <v>6</v>
      </c>
      <c r="B7" s="42" t="s">
        <v>3</v>
      </c>
      <c r="C7" s="69" t="s">
        <v>120</v>
      </c>
      <c r="D7" s="70"/>
      <c r="E7" s="70"/>
      <c r="F7" s="71"/>
    </row>
    <row r="8" spans="1:6" ht="37.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>
      <c r="A9" s="41">
        <v>8</v>
      </c>
      <c r="B9" s="5" t="s">
        <v>34</v>
      </c>
      <c r="C9" s="4"/>
      <c r="D9" s="4"/>
      <c r="E9" s="4"/>
      <c r="F9" s="4"/>
    </row>
    <row r="10" spans="1:6">
      <c r="A10" s="41">
        <v>9</v>
      </c>
      <c r="B10" s="6" t="s">
        <v>28</v>
      </c>
      <c r="C10" s="13" t="s">
        <v>29</v>
      </c>
      <c r="D10" s="13">
        <v>16</v>
      </c>
      <c r="E10" s="10">
        <v>170</v>
      </c>
      <c r="F10" s="9">
        <f>D10*E10</f>
        <v>2720</v>
      </c>
    </row>
    <row r="11" spans="1:6">
      <c r="A11" s="41">
        <v>10</v>
      </c>
      <c r="B11" s="6" t="s">
        <v>57</v>
      </c>
      <c r="C11" s="13" t="s">
        <v>12</v>
      </c>
      <c r="D11" s="13">
        <f>17*4</f>
        <v>68</v>
      </c>
      <c r="E11" s="10">
        <v>5500</v>
      </c>
      <c r="F11" s="9">
        <f t="shared" ref="F11:F13" si="0">D11*E11</f>
        <v>374000</v>
      </c>
    </row>
    <row r="12" spans="1:6">
      <c r="A12" s="41">
        <v>11</v>
      </c>
      <c r="B12" s="6" t="s">
        <v>30</v>
      </c>
      <c r="C12" s="13" t="s">
        <v>19</v>
      </c>
      <c r="D12" s="13">
        <f>0.5*D11</f>
        <v>34</v>
      </c>
      <c r="E12" s="10">
        <v>2000</v>
      </c>
      <c r="F12" s="9">
        <f t="shared" si="0"/>
        <v>68000</v>
      </c>
    </row>
    <row r="13" spans="1:6">
      <c r="A13" s="41">
        <v>12</v>
      </c>
      <c r="B13" s="6" t="s">
        <v>31</v>
      </c>
      <c r="C13" s="13" t="s">
        <v>12</v>
      </c>
      <c r="D13" s="13">
        <f>D11</f>
        <v>68</v>
      </c>
      <c r="E13" s="10">
        <v>250</v>
      </c>
      <c r="F13" s="9">
        <f t="shared" si="0"/>
        <v>17000</v>
      </c>
    </row>
    <row r="14" spans="1:6">
      <c r="A14" s="41">
        <v>13</v>
      </c>
      <c r="B14" s="7" t="s">
        <v>4</v>
      </c>
      <c r="C14" s="14"/>
      <c r="D14" s="14"/>
      <c r="E14" s="11"/>
      <c r="F14" s="15">
        <f>SUM(F10:F13)</f>
        <v>461720</v>
      </c>
    </row>
    <row r="15" spans="1:6" ht="18.75">
      <c r="A15" s="41">
        <v>14</v>
      </c>
      <c r="B15" s="5" t="s">
        <v>22</v>
      </c>
      <c r="C15" s="4"/>
      <c r="D15" s="4"/>
      <c r="E15" s="4"/>
      <c r="F15" s="4"/>
    </row>
    <row r="16" spans="1:6">
      <c r="A16" s="41">
        <v>15</v>
      </c>
      <c r="B16" s="6" t="s">
        <v>58</v>
      </c>
      <c r="C16" s="13" t="s">
        <v>61</v>
      </c>
      <c r="D16" s="13">
        <v>32</v>
      </c>
      <c r="E16" s="10">
        <v>2000</v>
      </c>
      <c r="F16" s="9">
        <f>D16*E16</f>
        <v>64000</v>
      </c>
    </row>
    <row r="17" spans="1:6">
      <c r="A17" s="41">
        <v>16</v>
      </c>
      <c r="B17" s="6" t="s">
        <v>59</v>
      </c>
      <c r="C17" s="13" t="s">
        <v>61</v>
      </c>
      <c r="D17" s="13">
        <v>32</v>
      </c>
      <c r="E17" s="10">
        <v>2000</v>
      </c>
      <c r="F17" s="9">
        <f>D17*E17</f>
        <v>64000</v>
      </c>
    </row>
    <row r="18" spans="1:6">
      <c r="A18" s="41">
        <v>17</v>
      </c>
      <c r="B18" s="6" t="s">
        <v>60</v>
      </c>
      <c r="C18" s="13" t="s">
        <v>61</v>
      </c>
      <c r="D18" s="13">
        <v>0</v>
      </c>
      <c r="E18" s="10">
        <v>3000</v>
      </c>
      <c r="F18" s="9">
        <f t="shared" ref="F18" si="1">D18*E18</f>
        <v>0</v>
      </c>
    </row>
    <row r="19" spans="1:6" ht="30">
      <c r="A19" s="41">
        <v>18</v>
      </c>
      <c r="B19" s="6" t="s">
        <v>116</v>
      </c>
      <c r="C19" s="13" t="s">
        <v>61</v>
      </c>
      <c r="D19" s="13">
        <v>4</v>
      </c>
      <c r="E19" s="10">
        <v>109350</v>
      </c>
      <c r="F19" s="9">
        <f>D19*E19</f>
        <v>437400</v>
      </c>
    </row>
    <row r="20" spans="1:6" ht="30">
      <c r="A20" s="41">
        <v>19</v>
      </c>
      <c r="B20" s="6" t="s">
        <v>117</v>
      </c>
      <c r="C20" s="13" t="s">
        <v>61</v>
      </c>
      <c r="D20" s="13">
        <v>28</v>
      </c>
      <c r="E20" s="10">
        <v>97200</v>
      </c>
      <c r="F20" s="9">
        <f t="shared" ref="F20:F21" si="2">D20*E20</f>
        <v>2721600</v>
      </c>
    </row>
    <row r="21" spans="1:6">
      <c r="A21" s="41">
        <v>20</v>
      </c>
      <c r="B21" s="6" t="s">
        <v>16</v>
      </c>
      <c r="C21" s="13" t="s">
        <v>11</v>
      </c>
      <c r="D21" s="56">
        <f>(12.472*2+39.17*2)*0.7</f>
        <v>72.2988</v>
      </c>
      <c r="E21" s="10">
        <v>600</v>
      </c>
      <c r="F21" s="9">
        <f t="shared" si="2"/>
        <v>43379.28</v>
      </c>
    </row>
    <row r="22" spans="1:6">
      <c r="A22" s="41">
        <v>21</v>
      </c>
      <c r="B22" s="7" t="s">
        <v>4</v>
      </c>
      <c r="C22" s="14"/>
      <c r="D22" s="14"/>
      <c r="E22" s="11"/>
      <c r="F22" s="15">
        <f>SUM(F16:F21)</f>
        <v>3330379.28</v>
      </c>
    </row>
    <row r="23" spans="1:6" ht="15.75">
      <c r="A23" s="41">
        <v>22</v>
      </c>
      <c r="B23" s="5" t="s">
        <v>23</v>
      </c>
      <c r="C23" s="12"/>
      <c r="D23" s="12"/>
      <c r="E23" s="8"/>
      <c r="F23" s="9"/>
    </row>
    <row r="24" spans="1:6">
      <c r="A24" s="41">
        <v>23</v>
      </c>
      <c r="B24" s="6" t="s">
        <v>62</v>
      </c>
      <c r="C24" s="13" t="str">
        <f>VLOOKUP(B24,[2]Кровля!Прайс,2,FALSE)</f>
        <v>тн</v>
      </c>
      <c r="D24" s="56">
        <f>0.015*F6</f>
        <v>7.3279235999999992</v>
      </c>
      <c r="E24" s="10">
        <v>42000</v>
      </c>
      <c r="F24" s="9">
        <f>D24*E24</f>
        <v>307772.79119999998</v>
      </c>
    </row>
    <row r="25" spans="1:6">
      <c r="A25" s="41">
        <v>24</v>
      </c>
      <c r="B25" s="6" t="s">
        <v>48</v>
      </c>
      <c r="C25" s="13" t="str">
        <f>VLOOKUP(B25,[2]Кровля!Прайс,2,FALSE)</f>
        <v>м2</v>
      </c>
      <c r="D25" s="56">
        <f>1.1*F6</f>
        <v>537.38106400000004</v>
      </c>
      <c r="E25" s="10">
        <v>370</v>
      </c>
      <c r="F25" s="9">
        <f t="shared" ref="F25:F37" si="3">D25*E25</f>
        <v>198830.99368000001</v>
      </c>
    </row>
    <row r="26" spans="1:6">
      <c r="A26" s="41">
        <v>25</v>
      </c>
      <c r="B26" s="6" t="s">
        <v>63</v>
      </c>
      <c r="C26" s="13" t="str">
        <f>VLOOKUP(B26,[2]Кровля!Прайс,2,FALSE)</f>
        <v>м3</v>
      </c>
      <c r="D26" s="56">
        <f>D25*0.04/4</f>
        <v>5.3738106400000003</v>
      </c>
      <c r="E26" s="10">
        <v>6500</v>
      </c>
      <c r="F26" s="9">
        <f t="shared" si="3"/>
        <v>34929.769160000003</v>
      </c>
    </row>
    <row r="27" spans="1:6">
      <c r="A27" s="41">
        <v>26</v>
      </c>
      <c r="B27" s="6" t="s">
        <v>66</v>
      </c>
      <c r="C27" s="13" t="str">
        <f>VLOOKUP(B27,[2]Кровля!Прайс,2,FALSE)</f>
        <v>тн</v>
      </c>
      <c r="D27" s="56">
        <f>D24</f>
        <v>7.3279235999999992</v>
      </c>
      <c r="E27" s="10">
        <v>7000</v>
      </c>
      <c r="F27" s="9">
        <f t="shared" si="3"/>
        <v>51295.465199999991</v>
      </c>
    </row>
    <row r="28" spans="1:6">
      <c r="A28" s="41">
        <v>27</v>
      </c>
      <c r="B28" s="6" t="s">
        <v>67</v>
      </c>
      <c r="C28" s="13" t="str">
        <f>VLOOKUP(B28,[2]Кровля!Прайс,2,FALSE)</f>
        <v>м2</v>
      </c>
      <c r="D28" s="56">
        <f>D25</f>
        <v>537.38106400000004</v>
      </c>
      <c r="E28" s="10">
        <v>250</v>
      </c>
      <c r="F28" s="9">
        <f t="shared" si="3"/>
        <v>134345.266</v>
      </c>
    </row>
    <row r="29" spans="1:6">
      <c r="A29" s="41">
        <v>28</v>
      </c>
      <c r="B29" s="6" t="s">
        <v>68</v>
      </c>
      <c r="C29" s="13" t="str">
        <f>VLOOKUP(B29,[2]Кровля!Прайс,2,FALSE)</f>
        <v>м</v>
      </c>
      <c r="D29" s="56">
        <f>D30</f>
        <v>94</v>
      </c>
      <c r="E29" s="10">
        <f>E30*40%</f>
        <v>260</v>
      </c>
      <c r="F29" s="9">
        <f t="shared" si="3"/>
        <v>24440</v>
      </c>
    </row>
    <row r="30" spans="1:6">
      <c r="A30" s="41">
        <v>29</v>
      </c>
      <c r="B30" s="6" t="s">
        <v>64</v>
      </c>
      <c r="C30" s="13" t="s">
        <v>65</v>
      </c>
      <c r="D30" s="56">
        <f>39.5*2+2.5*6</f>
        <v>94</v>
      </c>
      <c r="E30" s="10">
        <v>650</v>
      </c>
      <c r="F30" s="9">
        <f>D30*E30</f>
        <v>61100</v>
      </c>
    </row>
    <row r="31" spans="1:6">
      <c r="A31" s="41">
        <v>30</v>
      </c>
      <c r="B31" s="6" t="s">
        <v>69</v>
      </c>
      <c r="C31" s="13" t="str">
        <f>VLOOKUP(B31,[1]Кровля!Прайс,2,FALSE)</f>
        <v>шт</v>
      </c>
      <c r="D31" s="56">
        <v>6</v>
      </c>
      <c r="E31" s="10">
        <v>250</v>
      </c>
      <c r="F31" s="9">
        <f t="shared" si="3"/>
        <v>1500</v>
      </c>
    </row>
    <row r="32" spans="1:6">
      <c r="A32" s="41">
        <v>31</v>
      </c>
      <c r="B32" s="6" t="s">
        <v>70</v>
      </c>
      <c r="C32" s="13" t="str">
        <f>VLOOKUP(B32,[1]Кровля!Прайс,2,FALSE)</f>
        <v>шт</v>
      </c>
      <c r="D32" s="56">
        <f>D31</f>
        <v>6</v>
      </c>
      <c r="E32" s="10">
        <v>360</v>
      </c>
      <c r="F32" s="9">
        <f t="shared" si="3"/>
        <v>2160</v>
      </c>
    </row>
    <row r="33" spans="1:7">
      <c r="A33" s="41">
        <v>32</v>
      </c>
      <c r="B33" s="6" t="s">
        <v>71</v>
      </c>
      <c r="C33" s="13" t="str">
        <f>VLOOKUP(B33,[1]Кровля!Прайс,2,FALSE)</f>
        <v>м</v>
      </c>
      <c r="D33" s="56">
        <v>39.5</v>
      </c>
      <c r="E33" s="10">
        <v>120</v>
      </c>
      <c r="F33" s="9">
        <f t="shared" si="3"/>
        <v>4740</v>
      </c>
    </row>
    <row r="34" spans="1:7">
      <c r="A34" s="41">
        <v>33</v>
      </c>
      <c r="B34" s="6" t="s">
        <v>72</v>
      </c>
      <c r="C34" s="13" t="s">
        <v>11</v>
      </c>
      <c r="D34" s="56">
        <f>D33*0.4</f>
        <v>15.8</v>
      </c>
      <c r="E34" s="10">
        <v>480</v>
      </c>
      <c r="F34" s="9">
        <f t="shared" si="3"/>
        <v>7584</v>
      </c>
    </row>
    <row r="35" spans="1:7">
      <c r="A35" s="41">
        <v>34</v>
      </c>
      <c r="B35" s="6" t="s">
        <v>73</v>
      </c>
      <c r="C35" s="13" t="str">
        <f>VLOOKUP(B35,[1]Кровля!Прайс,2,FALSE)</f>
        <v>м2</v>
      </c>
      <c r="D35" s="56">
        <f>D33*2*0.8</f>
        <v>63.2</v>
      </c>
      <c r="E35" s="10">
        <v>180</v>
      </c>
      <c r="F35" s="9">
        <f t="shared" si="3"/>
        <v>11376</v>
      </c>
    </row>
    <row r="36" spans="1:7">
      <c r="A36" s="41">
        <v>35</v>
      </c>
      <c r="B36" s="6" t="s">
        <v>74</v>
      </c>
      <c r="C36" s="13" t="str">
        <f>VLOOKUP(B36,[1]Кровля!Прайс,2,FALSE)</f>
        <v>м2</v>
      </c>
      <c r="D36" s="56">
        <f>D35</f>
        <v>63.2</v>
      </c>
      <c r="E36" s="10">
        <v>353</v>
      </c>
      <c r="F36" s="9">
        <f t="shared" si="3"/>
        <v>22309.600000000002</v>
      </c>
    </row>
    <row r="37" spans="1:7">
      <c r="A37" s="41">
        <v>36</v>
      </c>
      <c r="B37" s="6" t="s">
        <v>75</v>
      </c>
      <c r="C37" s="13" t="str">
        <f>VLOOKUP(B37,[1]Кровля!Прайс,2,FALSE)</f>
        <v>компл</v>
      </c>
      <c r="D37" s="56">
        <f>D25</f>
        <v>537.38106400000004</v>
      </c>
      <c r="E37" s="10">
        <v>75</v>
      </c>
      <c r="F37" s="9">
        <f t="shared" si="3"/>
        <v>40303.5798</v>
      </c>
    </row>
    <row r="38" spans="1:7">
      <c r="A38" s="41">
        <v>37</v>
      </c>
      <c r="B38" s="7" t="s">
        <v>4</v>
      </c>
      <c r="C38" s="14"/>
      <c r="D38" s="14"/>
      <c r="E38" s="11"/>
      <c r="F38" s="15">
        <f>SUM(F24:F37)</f>
        <v>902687.46503999981</v>
      </c>
      <c r="G38" s="58"/>
    </row>
    <row r="39" spans="1:7" ht="21.75" customHeight="1">
      <c r="A39" s="41">
        <v>38</v>
      </c>
      <c r="B39" s="5" t="s">
        <v>39</v>
      </c>
      <c r="C39" s="12"/>
      <c r="D39" s="12"/>
      <c r="E39" s="8"/>
      <c r="F39" s="9"/>
    </row>
    <row r="40" spans="1:7">
      <c r="A40" s="41">
        <v>39</v>
      </c>
      <c r="B40" s="6" t="s">
        <v>15</v>
      </c>
      <c r="C40" s="13" t="s">
        <v>12</v>
      </c>
      <c r="D40" s="13">
        <v>21</v>
      </c>
      <c r="E40" s="10">
        <v>5000</v>
      </c>
      <c r="F40" s="9">
        <f t="shared" ref="F40:F44" si="4">D40*E40</f>
        <v>105000</v>
      </c>
    </row>
    <row r="41" spans="1:7">
      <c r="A41" s="41">
        <v>40</v>
      </c>
      <c r="B41" s="6" t="s">
        <v>86</v>
      </c>
      <c r="C41" s="13" t="s">
        <v>12</v>
      </c>
      <c r="D41" s="13">
        <v>4</v>
      </c>
      <c r="E41" s="10">
        <v>8500</v>
      </c>
      <c r="F41" s="9">
        <f t="shared" si="4"/>
        <v>34000</v>
      </c>
    </row>
    <row r="42" spans="1:7">
      <c r="A42" s="41">
        <v>41</v>
      </c>
      <c r="B42" s="6" t="s">
        <v>17</v>
      </c>
      <c r="C42" s="13" t="s">
        <v>12</v>
      </c>
      <c r="D42" s="13">
        <v>3</v>
      </c>
      <c r="E42" s="10">
        <v>18000</v>
      </c>
      <c r="F42" s="9">
        <f t="shared" si="4"/>
        <v>54000</v>
      </c>
    </row>
    <row r="43" spans="1:7">
      <c r="A43" s="41">
        <v>42</v>
      </c>
      <c r="B43" s="6" t="s">
        <v>87</v>
      </c>
      <c r="C43" s="13" t="s">
        <v>12</v>
      </c>
      <c r="D43" s="13">
        <v>2</v>
      </c>
      <c r="E43" s="10">
        <v>27000</v>
      </c>
      <c r="F43" s="9">
        <f t="shared" ref="F43" si="5">D43*E43</f>
        <v>54000</v>
      </c>
    </row>
    <row r="44" spans="1:7">
      <c r="A44" s="41">
        <v>43</v>
      </c>
      <c r="B44" s="6" t="s">
        <v>27</v>
      </c>
      <c r="C44" s="13" t="s">
        <v>12</v>
      </c>
      <c r="D44" s="13">
        <v>74</v>
      </c>
      <c r="E44" s="10">
        <v>1000</v>
      </c>
      <c r="F44" s="9">
        <f t="shared" si="4"/>
        <v>74000</v>
      </c>
    </row>
    <row r="45" spans="1:7">
      <c r="A45" s="41">
        <v>44</v>
      </c>
      <c r="B45" s="7" t="s">
        <v>4</v>
      </c>
      <c r="C45" s="14"/>
      <c r="D45" s="14"/>
      <c r="E45" s="11"/>
      <c r="F45" s="15">
        <f>SUM(F40:F44)</f>
        <v>321000</v>
      </c>
    </row>
    <row r="46" spans="1:7" ht="15.75">
      <c r="A46" s="41">
        <v>45</v>
      </c>
      <c r="B46" s="5" t="s">
        <v>24</v>
      </c>
      <c r="C46" s="12"/>
      <c r="D46" s="12"/>
      <c r="E46" s="8"/>
      <c r="F46" s="9"/>
    </row>
    <row r="47" spans="1:7">
      <c r="A47" s="41">
        <v>46</v>
      </c>
      <c r="B47" s="6" t="s">
        <v>14</v>
      </c>
      <c r="C47" s="13" t="s">
        <v>11</v>
      </c>
      <c r="D47" s="13">
        <f>(6*11+4.2*6+2.35*19+1.5*3+1*4)*2.6</f>
        <v>375.31</v>
      </c>
      <c r="E47" s="10">
        <v>1100</v>
      </c>
      <c r="F47" s="9">
        <f>D47*E47</f>
        <v>412841</v>
      </c>
    </row>
    <row r="48" spans="1:7">
      <c r="A48" s="41">
        <v>47</v>
      </c>
      <c r="B48" s="6" t="s">
        <v>18</v>
      </c>
      <c r="C48" s="13" t="s">
        <v>11</v>
      </c>
      <c r="D48" s="13">
        <f>D47</f>
        <v>375.31</v>
      </c>
      <c r="E48" s="10">
        <v>120</v>
      </c>
      <c r="F48" s="9">
        <f>D48*E48</f>
        <v>45037.2</v>
      </c>
    </row>
    <row r="49" spans="1:7">
      <c r="A49" s="41">
        <v>48</v>
      </c>
      <c r="B49" s="7" t="s">
        <v>4</v>
      </c>
      <c r="C49" s="14"/>
      <c r="D49" s="14"/>
      <c r="E49" s="11"/>
      <c r="F49" s="15">
        <f>SUM(F47:F48)</f>
        <v>457878.2</v>
      </c>
    </row>
    <row r="50" spans="1:7" ht="15.75">
      <c r="A50" s="41">
        <v>49</v>
      </c>
      <c r="B50" s="5" t="s">
        <v>41</v>
      </c>
      <c r="C50" s="12"/>
      <c r="D50" s="12"/>
      <c r="E50" s="8"/>
      <c r="F50" s="9"/>
    </row>
    <row r="51" spans="1:7">
      <c r="A51" s="41">
        <v>50</v>
      </c>
      <c r="B51" s="19" t="s">
        <v>35</v>
      </c>
      <c r="C51" s="13"/>
      <c r="D51" s="13"/>
      <c r="E51" s="10"/>
      <c r="F51" s="9"/>
    </row>
    <row r="52" spans="1:7">
      <c r="A52" s="41">
        <v>51</v>
      </c>
      <c r="B52" s="6" t="s">
        <v>36</v>
      </c>
      <c r="C52" s="13" t="s">
        <v>11</v>
      </c>
      <c r="D52" s="13">
        <f>(6*4+2.35*8+17.8)*2.6</f>
        <v>157.56</v>
      </c>
      <c r="E52" s="10">
        <v>180</v>
      </c>
      <c r="F52" s="9">
        <f t="shared" ref="F52:F54" si="6">D52*E52</f>
        <v>28360.799999999999</v>
      </c>
      <c r="G52" t="s">
        <v>105</v>
      </c>
    </row>
    <row r="53" spans="1:7">
      <c r="A53" s="41">
        <v>52</v>
      </c>
      <c r="B53" s="6" t="s">
        <v>37</v>
      </c>
      <c r="C53" s="13" t="s">
        <v>11</v>
      </c>
      <c r="D53" s="13">
        <f>D52</f>
        <v>157.56</v>
      </c>
      <c r="E53" s="10">
        <v>95</v>
      </c>
      <c r="F53" s="9">
        <f t="shared" si="6"/>
        <v>14968.2</v>
      </c>
    </row>
    <row r="54" spans="1:7">
      <c r="A54" s="41">
        <v>53</v>
      </c>
      <c r="B54" s="6" t="s">
        <v>38</v>
      </c>
      <c r="C54" s="13" t="s">
        <v>11</v>
      </c>
      <c r="D54" s="13">
        <f>D52</f>
        <v>157.56</v>
      </c>
      <c r="E54" s="10">
        <v>150</v>
      </c>
      <c r="F54" s="9">
        <f t="shared" si="6"/>
        <v>23634</v>
      </c>
    </row>
    <row r="55" spans="1:7">
      <c r="A55" s="41">
        <v>54</v>
      </c>
      <c r="B55" s="19" t="s">
        <v>32</v>
      </c>
      <c r="C55" s="13"/>
      <c r="D55" s="13"/>
      <c r="E55" s="10"/>
      <c r="F55" s="9"/>
    </row>
    <row r="56" spans="1:7">
      <c r="A56" s="41">
        <v>55</v>
      </c>
      <c r="B56" s="6" t="s">
        <v>25</v>
      </c>
      <c r="C56" s="13" t="s">
        <v>11</v>
      </c>
      <c r="D56" s="13">
        <f>D57</f>
        <v>364.98999999999995</v>
      </c>
      <c r="E56" s="10">
        <v>100</v>
      </c>
      <c r="F56" s="9">
        <f>D56*E56</f>
        <v>36498.999999999993</v>
      </c>
    </row>
    <row r="57" spans="1:7">
      <c r="A57" s="41">
        <v>56</v>
      </c>
      <c r="B57" s="6" t="s">
        <v>49</v>
      </c>
      <c r="C57" s="13" t="s">
        <v>11</v>
      </c>
      <c r="D57" s="13">
        <f>140.35+17.91+11.63+13.23+9.95+9.95+4.76+15.95+15.95+18.54+14.41+10.27+23.91+58.18</f>
        <v>364.98999999999995</v>
      </c>
      <c r="E57" s="10">
        <v>350</v>
      </c>
      <c r="F57" s="9">
        <f>D57*E57</f>
        <v>127746.49999999999</v>
      </c>
    </row>
    <row r="58" spans="1:7">
      <c r="A58" s="41">
        <v>57</v>
      </c>
      <c r="B58" s="6" t="s">
        <v>76</v>
      </c>
      <c r="C58" s="13" t="str">
        <f>VLOOKUP(B58,[1]Отделка!Прайс,2,FALSE)</f>
        <v>м2</v>
      </c>
      <c r="D58" s="13">
        <f>4.95</f>
        <v>4.95</v>
      </c>
      <c r="E58" s="10">
        <v>360</v>
      </c>
      <c r="F58" s="9">
        <f t="shared" ref="F58:F62" si="7">D58*E58</f>
        <v>1782</v>
      </c>
      <c r="G58" t="s">
        <v>104</v>
      </c>
    </row>
    <row r="59" spans="1:7">
      <c r="A59" s="41">
        <v>58</v>
      </c>
      <c r="B59" s="6" t="s">
        <v>77</v>
      </c>
      <c r="C59" s="13" t="str">
        <f>VLOOKUP(B59,[1]Отделка!Прайс,2,FALSE)</f>
        <v>м2</v>
      </c>
      <c r="D59" s="13">
        <f>D58</f>
        <v>4.95</v>
      </c>
      <c r="E59" s="10">
        <v>635.85</v>
      </c>
      <c r="F59" s="9">
        <f t="shared" si="7"/>
        <v>3147.4575000000004</v>
      </c>
    </row>
    <row r="60" spans="1:7">
      <c r="A60" s="41">
        <v>59</v>
      </c>
      <c r="B60" s="6" t="s">
        <v>78</v>
      </c>
      <c r="C60" s="13" t="str">
        <f>VLOOKUP(B60,[1]Отделка!Прайс,2,FALSE)</f>
        <v>м2</v>
      </c>
      <c r="D60" s="13">
        <f>4.2+9.11+4.78+8.75+18.03+44.36+1.47</f>
        <v>90.7</v>
      </c>
      <c r="E60" s="10">
        <v>450</v>
      </c>
      <c r="F60" s="9">
        <f t="shared" si="7"/>
        <v>40815</v>
      </c>
      <c r="G60" t="s">
        <v>107</v>
      </c>
    </row>
    <row r="61" spans="1:7">
      <c r="A61" s="41">
        <v>60</v>
      </c>
      <c r="B61" s="6" t="s">
        <v>97</v>
      </c>
      <c r="C61" s="13" t="s">
        <v>11</v>
      </c>
      <c r="D61" s="13">
        <f>D60</f>
        <v>90.7</v>
      </c>
      <c r="E61" s="10">
        <v>599</v>
      </c>
      <c r="F61" s="9">
        <f t="shared" si="7"/>
        <v>54329.3</v>
      </c>
    </row>
    <row r="62" spans="1:7">
      <c r="A62" s="41">
        <v>61</v>
      </c>
      <c r="B62" s="6" t="s">
        <v>79</v>
      </c>
      <c r="C62" s="13" t="str">
        <f>VLOOKUP(B62,[1]Отделка!Прайс,2,FALSE)</f>
        <v>кг</v>
      </c>
      <c r="D62" s="13">
        <f>D60*5</f>
        <v>453.5</v>
      </c>
      <c r="E62" s="10">
        <v>11.7</v>
      </c>
      <c r="F62" s="9">
        <f t="shared" si="7"/>
        <v>5305.95</v>
      </c>
    </row>
    <row r="63" spans="1:7" ht="15.75">
      <c r="A63" s="41">
        <v>62</v>
      </c>
      <c r="B63" s="19" t="s">
        <v>40</v>
      </c>
      <c r="C63" s="12"/>
      <c r="D63" s="12"/>
      <c r="E63" s="8"/>
      <c r="F63" s="9"/>
    </row>
    <row r="64" spans="1:7" ht="18" customHeight="1">
      <c r="A64" s="41">
        <v>63</v>
      </c>
      <c r="B64" s="6" t="s">
        <v>80</v>
      </c>
      <c r="C64" s="13" t="str">
        <f>VLOOKUP(B64,[1]Отделка!Прайс,2,FALSE)</f>
        <v>м2</v>
      </c>
      <c r="D64" s="13">
        <f>D65</f>
        <v>80.25</v>
      </c>
      <c r="E64" s="10">
        <v>180</v>
      </c>
      <c r="F64" s="9">
        <f t="shared" ref="F64:F65" si="8">D64*E64</f>
        <v>14445</v>
      </c>
      <c r="G64" t="s">
        <v>106</v>
      </c>
    </row>
    <row r="65" spans="1:6" ht="30">
      <c r="A65" s="41">
        <v>64</v>
      </c>
      <c r="B65" s="6" t="s">
        <v>81</v>
      </c>
      <c r="C65" s="13" t="s">
        <v>11</v>
      </c>
      <c r="D65" s="13">
        <f>9.11+8.75+18.03+44.36</f>
        <v>80.25</v>
      </c>
      <c r="E65" s="10">
        <v>275</v>
      </c>
      <c r="F65" s="9">
        <f t="shared" si="8"/>
        <v>22068.75</v>
      </c>
    </row>
    <row r="66" spans="1:6">
      <c r="A66" s="41">
        <v>65</v>
      </c>
      <c r="B66" s="7" t="s">
        <v>4</v>
      </c>
      <c r="C66" s="14"/>
      <c r="D66" s="14"/>
      <c r="E66" s="11"/>
      <c r="F66" s="15">
        <f>SUM(F51:F65)</f>
        <v>373101.95750000002</v>
      </c>
    </row>
    <row r="67" spans="1:6" ht="15.75">
      <c r="A67" s="41">
        <v>66</v>
      </c>
      <c r="B67" s="5" t="s">
        <v>83</v>
      </c>
      <c r="C67" s="59"/>
      <c r="D67" s="59"/>
      <c r="E67" s="60"/>
      <c r="F67" s="61"/>
    </row>
    <row r="68" spans="1:6">
      <c r="A68" s="41">
        <v>67</v>
      </c>
      <c r="B68" s="6" t="s">
        <v>84</v>
      </c>
      <c r="C68" s="13" t="str">
        <f>VLOOKUP(B68,'[1]Лестницы, крыльца'!Прайс,2,FALSE)</f>
        <v>тн</v>
      </c>
      <c r="D68" s="13">
        <v>1.4</v>
      </c>
      <c r="E68" s="10">
        <v>9000</v>
      </c>
      <c r="F68" s="9">
        <f t="shared" ref="F68" si="9">D68*E68</f>
        <v>12600</v>
      </c>
    </row>
    <row r="69" spans="1:6">
      <c r="A69" s="41">
        <v>68</v>
      </c>
      <c r="B69" s="6" t="s">
        <v>98</v>
      </c>
      <c r="C69" s="13" t="s">
        <v>90</v>
      </c>
      <c r="D69" s="13">
        <f>0.4*2+0.2*3</f>
        <v>1.4000000000000001</v>
      </c>
      <c r="E69" s="10">
        <v>77000</v>
      </c>
      <c r="F69" s="9">
        <f>D69*E69</f>
        <v>107800.00000000001</v>
      </c>
    </row>
    <row r="70" spans="1:6">
      <c r="A70" s="41">
        <v>69</v>
      </c>
      <c r="B70" s="6" t="s">
        <v>85</v>
      </c>
      <c r="C70" s="13" t="s">
        <v>90</v>
      </c>
      <c r="D70" s="13">
        <v>0</v>
      </c>
      <c r="E70" s="10">
        <v>77000</v>
      </c>
      <c r="F70" s="9">
        <f>D70*E70</f>
        <v>0</v>
      </c>
    </row>
    <row r="71" spans="1:6">
      <c r="A71" s="41">
        <v>70</v>
      </c>
      <c r="B71" s="7" t="s">
        <v>4</v>
      </c>
      <c r="C71" s="13"/>
      <c r="D71" s="14"/>
      <c r="E71" s="11"/>
      <c r="F71" s="15">
        <f>SUM(F68:F70)</f>
        <v>120400.00000000001</v>
      </c>
    </row>
    <row r="72" spans="1:6" ht="15.75">
      <c r="A72" s="41">
        <v>71</v>
      </c>
      <c r="B72" s="5" t="s">
        <v>88</v>
      </c>
      <c r="C72" s="59"/>
      <c r="D72" s="59"/>
      <c r="E72" s="60"/>
      <c r="F72" s="61"/>
    </row>
    <row r="73" spans="1:6">
      <c r="A73" s="41">
        <v>72</v>
      </c>
      <c r="B73" s="6" t="s">
        <v>89</v>
      </c>
      <c r="C73" s="13" t="s">
        <v>90</v>
      </c>
      <c r="D73" s="13">
        <v>0</v>
      </c>
      <c r="E73" s="10">
        <v>9000</v>
      </c>
      <c r="F73" s="9">
        <f t="shared" ref="F73:F74" si="10">D73*E73</f>
        <v>0</v>
      </c>
    </row>
    <row r="74" spans="1:6">
      <c r="A74" s="41">
        <v>73</v>
      </c>
      <c r="B74" s="6" t="s">
        <v>91</v>
      </c>
      <c r="C74" s="13" t="s">
        <v>90</v>
      </c>
      <c r="D74" s="13">
        <v>0</v>
      </c>
      <c r="E74" s="10">
        <v>50000</v>
      </c>
      <c r="F74" s="9">
        <f t="shared" si="10"/>
        <v>0</v>
      </c>
    </row>
    <row r="75" spans="1:6">
      <c r="A75" s="41">
        <v>74</v>
      </c>
      <c r="B75" s="6" t="s">
        <v>96</v>
      </c>
      <c r="C75" s="13" t="s">
        <v>11</v>
      </c>
      <c r="D75" s="13">
        <v>0</v>
      </c>
      <c r="E75" s="10">
        <v>1950</v>
      </c>
      <c r="F75" s="9">
        <f>D75*E75</f>
        <v>0</v>
      </c>
    </row>
    <row r="76" spans="1:6">
      <c r="A76" s="41">
        <v>75</v>
      </c>
      <c r="B76" s="6" t="s">
        <v>18</v>
      </c>
      <c r="C76" s="13" t="s">
        <v>11</v>
      </c>
      <c r="D76" s="13">
        <f>D75</f>
        <v>0</v>
      </c>
      <c r="E76" s="10">
        <v>180</v>
      </c>
      <c r="F76" s="9">
        <f>D76*E76</f>
        <v>0</v>
      </c>
    </row>
    <row r="77" spans="1:6">
      <c r="A77" s="41">
        <v>76</v>
      </c>
      <c r="B77" s="7" t="s">
        <v>4</v>
      </c>
      <c r="C77" s="13"/>
      <c r="D77" s="14"/>
      <c r="E77" s="11"/>
      <c r="F77" s="15">
        <f>SUM(F73:F76)</f>
        <v>0</v>
      </c>
    </row>
    <row r="78" spans="1:6" ht="15.75">
      <c r="A78" s="41">
        <v>77</v>
      </c>
      <c r="B78" s="25" t="s">
        <v>13</v>
      </c>
      <c r="C78" s="26"/>
      <c r="D78" s="26"/>
      <c r="E78" s="27"/>
      <c r="F78" s="28">
        <f>SUM(F10:F77)/2</f>
        <v>5967166.9025399992</v>
      </c>
    </row>
    <row r="79" spans="1:6" ht="15.75">
      <c r="A79" s="41">
        <v>78</v>
      </c>
      <c r="B79" s="29" t="s">
        <v>115</v>
      </c>
      <c r="C79" s="57" t="s">
        <v>82</v>
      </c>
      <c r="D79" s="57">
        <v>1</v>
      </c>
      <c r="E79" s="30"/>
      <c r="F79" s="31">
        <f>F78*D79%</f>
        <v>59671.669025399991</v>
      </c>
    </row>
    <row r="80" spans="1:6" ht="21">
      <c r="A80" s="41">
        <v>79</v>
      </c>
      <c r="B80" s="32" t="s">
        <v>20</v>
      </c>
      <c r="C80" s="33"/>
      <c r="D80" s="33"/>
      <c r="E80" s="34"/>
      <c r="F80" s="35">
        <f>F78+F79</f>
        <v>6026838.5715653989</v>
      </c>
    </row>
    <row r="81" spans="1:8" ht="15.75">
      <c r="A81" s="41">
        <v>80</v>
      </c>
      <c r="B81" s="21" t="s">
        <v>92</v>
      </c>
      <c r="C81" s="12"/>
      <c r="D81" s="12"/>
      <c r="E81" s="8"/>
      <c r="F81" s="9"/>
    </row>
    <row r="82" spans="1:8" ht="15.75">
      <c r="A82" s="41">
        <v>81</v>
      </c>
      <c r="B82" s="20" t="s">
        <v>42</v>
      </c>
      <c r="C82" s="13" t="s">
        <v>11</v>
      </c>
      <c r="D82" s="63">
        <f>F6</f>
        <v>488.52823999999998</v>
      </c>
      <c r="E82" s="10">
        <v>750</v>
      </c>
      <c r="F82" s="9">
        <f>D82*E82</f>
        <v>366396.18</v>
      </c>
    </row>
    <row r="83" spans="1:8" ht="15.75">
      <c r="A83" s="41">
        <v>82</v>
      </c>
      <c r="B83" s="20" t="s">
        <v>21</v>
      </c>
      <c r="C83" s="13" t="s">
        <v>11</v>
      </c>
      <c r="D83" s="63">
        <f>D82</f>
        <v>488.52823999999998</v>
      </c>
      <c r="E83" s="10">
        <f>E82*50%</f>
        <v>375</v>
      </c>
      <c r="F83" s="9">
        <f t="shared" ref="F83:F89" si="11">D83*E83</f>
        <v>183198.09</v>
      </c>
    </row>
    <row r="84" spans="1:8" ht="15" customHeight="1">
      <c r="A84" s="41">
        <v>83</v>
      </c>
      <c r="B84" s="24" t="s">
        <v>53</v>
      </c>
      <c r="C84" s="13" t="s">
        <v>11</v>
      </c>
      <c r="D84" s="63">
        <f t="shared" ref="D84:D89" si="12">D83</f>
        <v>488.52823999999998</v>
      </c>
      <c r="E84" s="10">
        <v>150</v>
      </c>
      <c r="F84" s="9">
        <f t="shared" si="11"/>
        <v>73279.236000000004</v>
      </c>
    </row>
    <row r="85" spans="1:8" ht="15.75">
      <c r="A85" s="41">
        <v>84</v>
      </c>
      <c r="B85" s="24" t="s">
        <v>33</v>
      </c>
      <c r="C85" s="13" t="s">
        <v>11</v>
      </c>
      <c r="D85" s="63">
        <f t="shared" si="12"/>
        <v>488.52823999999998</v>
      </c>
      <c r="E85" s="10">
        <f>E84*50%</f>
        <v>75</v>
      </c>
      <c r="F85" s="9">
        <f t="shared" si="11"/>
        <v>36639.618000000002</v>
      </c>
    </row>
    <row r="86" spans="1:8" ht="15.75">
      <c r="A86" s="41">
        <v>85</v>
      </c>
      <c r="B86" s="24" t="s">
        <v>43</v>
      </c>
      <c r="C86" s="13" t="s">
        <v>11</v>
      </c>
      <c r="D86" s="63">
        <f t="shared" si="12"/>
        <v>488.52823999999998</v>
      </c>
      <c r="E86" s="10">
        <v>750</v>
      </c>
      <c r="F86" s="9">
        <f t="shared" si="11"/>
        <v>366396.18</v>
      </c>
    </row>
    <row r="87" spans="1:8" ht="15.75">
      <c r="A87" s="41">
        <v>86</v>
      </c>
      <c r="B87" s="24" t="s">
        <v>44</v>
      </c>
      <c r="C87" s="13" t="s">
        <v>11</v>
      </c>
      <c r="D87" s="63">
        <f t="shared" si="12"/>
        <v>488.52823999999998</v>
      </c>
      <c r="E87" s="10">
        <f>E86*50%</f>
        <v>375</v>
      </c>
      <c r="F87" s="9">
        <f t="shared" si="11"/>
        <v>183198.09</v>
      </c>
    </row>
    <row r="88" spans="1:8" ht="15.75">
      <c r="A88" s="41">
        <v>87</v>
      </c>
      <c r="B88" s="24" t="s">
        <v>45</v>
      </c>
      <c r="C88" s="13" t="s">
        <v>11</v>
      </c>
      <c r="D88" s="63">
        <f t="shared" si="12"/>
        <v>488.52823999999998</v>
      </c>
      <c r="E88" s="10">
        <v>120</v>
      </c>
      <c r="F88" s="9">
        <f t="shared" si="11"/>
        <v>58623.388800000001</v>
      </c>
    </row>
    <row r="89" spans="1:8" ht="15.75">
      <c r="A89" s="41">
        <v>88</v>
      </c>
      <c r="B89" s="24" t="s">
        <v>46</v>
      </c>
      <c r="C89" s="13" t="s">
        <v>11</v>
      </c>
      <c r="D89" s="63">
        <f t="shared" si="12"/>
        <v>488.52823999999998</v>
      </c>
      <c r="E89" s="10">
        <f>E88*120%</f>
        <v>144</v>
      </c>
      <c r="F89" s="9">
        <f t="shared" si="11"/>
        <v>70348.066559999992</v>
      </c>
    </row>
    <row r="90" spans="1:8" ht="15.75">
      <c r="A90" s="41">
        <v>89</v>
      </c>
      <c r="B90" s="22" t="s">
        <v>4</v>
      </c>
      <c r="C90" s="13"/>
      <c r="D90" s="56"/>
      <c r="E90" s="10"/>
      <c r="F90" s="23">
        <f>SUM(F82:F89)</f>
        <v>1338078.8493600001</v>
      </c>
    </row>
    <row r="91" spans="1:8" ht="15.75">
      <c r="A91" s="41">
        <v>90</v>
      </c>
      <c r="B91" s="21" t="s">
        <v>93</v>
      </c>
      <c r="C91" s="13" t="s">
        <v>11</v>
      </c>
      <c r="D91" s="56">
        <f>F6</f>
        <v>488.52823999999998</v>
      </c>
      <c r="E91" s="10">
        <v>700</v>
      </c>
      <c r="F91" s="23">
        <f>D91*E91</f>
        <v>341969.76799999998</v>
      </c>
    </row>
    <row r="92" spans="1:8" ht="18.75">
      <c r="A92" s="41">
        <v>91</v>
      </c>
      <c r="B92" s="47" t="s">
        <v>108</v>
      </c>
      <c r="C92" s="36" t="s">
        <v>82</v>
      </c>
      <c r="D92" s="36">
        <v>6</v>
      </c>
      <c r="E92" s="37"/>
      <c r="F92" s="39">
        <f>(F80+F90)*D92%</f>
        <v>441895.04525552393</v>
      </c>
    </row>
    <row r="93" spans="1:8" ht="18.75">
      <c r="A93" s="41">
        <v>92</v>
      </c>
      <c r="B93" s="47" t="s">
        <v>94</v>
      </c>
      <c r="C93" s="36" t="s">
        <v>19</v>
      </c>
      <c r="D93" s="36">
        <v>130</v>
      </c>
      <c r="E93" s="37">
        <v>2000</v>
      </c>
      <c r="F93" s="39">
        <f>D93*E93</f>
        <v>260000</v>
      </c>
    </row>
    <row r="94" spans="1:8" ht="15.75">
      <c r="A94" s="41">
        <v>93</v>
      </c>
      <c r="B94" s="47" t="s">
        <v>95</v>
      </c>
      <c r="C94" s="48"/>
      <c r="D94" s="48"/>
      <c r="E94" s="49"/>
      <c r="F94" s="50">
        <f>SUM(F95:F103)</f>
        <v>263600</v>
      </c>
      <c r="G94" s="58"/>
      <c r="H94" s="58"/>
    </row>
    <row r="95" spans="1:8">
      <c r="A95" s="41">
        <v>94</v>
      </c>
      <c r="B95" s="51" t="s">
        <v>54</v>
      </c>
      <c r="C95" s="52" t="s">
        <v>12</v>
      </c>
      <c r="D95" s="52">
        <v>5</v>
      </c>
      <c r="E95" s="53">
        <v>5000</v>
      </c>
      <c r="F95" s="54">
        <f>D95*E95</f>
        <v>25000</v>
      </c>
    </row>
    <row r="96" spans="1:8">
      <c r="A96" s="41">
        <v>95</v>
      </c>
      <c r="B96" s="51" t="s">
        <v>55</v>
      </c>
      <c r="C96" s="52" t="s">
        <v>12</v>
      </c>
      <c r="D96" s="52">
        <v>5</v>
      </c>
      <c r="E96" s="53">
        <v>4000</v>
      </c>
      <c r="F96" s="54">
        <f t="shared" ref="F96:F103" si="13">D96*E96</f>
        <v>20000</v>
      </c>
    </row>
    <row r="97" spans="1:8">
      <c r="A97" s="41">
        <v>96</v>
      </c>
      <c r="B97" s="51" t="s">
        <v>113</v>
      </c>
      <c r="C97" s="52" t="s">
        <v>12</v>
      </c>
      <c r="D97" s="52">
        <v>7</v>
      </c>
      <c r="E97" s="53">
        <v>2300</v>
      </c>
      <c r="F97" s="54">
        <f t="shared" si="13"/>
        <v>16100</v>
      </c>
    </row>
    <row r="98" spans="1:8">
      <c r="A98" s="41">
        <v>97</v>
      </c>
      <c r="B98" s="51" t="s">
        <v>114</v>
      </c>
      <c r="C98" s="52" t="s">
        <v>12</v>
      </c>
      <c r="D98" s="52">
        <v>20</v>
      </c>
      <c r="E98" s="53">
        <v>2800</v>
      </c>
      <c r="F98" s="54">
        <f t="shared" si="13"/>
        <v>56000</v>
      </c>
    </row>
    <row r="99" spans="1:8">
      <c r="A99" s="41">
        <v>98</v>
      </c>
      <c r="B99" s="51" t="s">
        <v>109</v>
      </c>
      <c r="C99" s="52" t="s">
        <v>12</v>
      </c>
      <c r="D99" s="52">
        <v>3</v>
      </c>
      <c r="E99" s="53">
        <v>7500</v>
      </c>
      <c r="F99" s="64">
        <f t="shared" ref="F99:F101" si="14">D99*E99</f>
        <v>22500</v>
      </c>
    </row>
    <row r="100" spans="1:8">
      <c r="A100" s="41">
        <v>99</v>
      </c>
      <c r="B100" s="51" t="s">
        <v>110</v>
      </c>
      <c r="C100" s="52" t="s">
        <v>12</v>
      </c>
      <c r="D100" s="52">
        <v>1</v>
      </c>
      <c r="E100" s="53">
        <v>13500</v>
      </c>
      <c r="F100" s="64">
        <f t="shared" si="14"/>
        <v>13500</v>
      </c>
    </row>
    <row r="101" spans="1:8">
      <c r="A101" s="41">
        <v>100</v>
      </c>
      <c r="B101" s="51" t="s">
        <v>111</v>
      </c>
      <c r="C101" s="52" t="s">
        <v>12</v>
      </c>
      <c r="D101" s="52">
        <v>1</v>
      </c>
      <c r="E101" s="53">
        <v>16500</v>
      </c>
      <c r="F101" s="64">
        <f t="shared" si="14"/>
        <v>16500</v>
      </c>
    </row>
    <row r="102" spans="1:8">
      <c r="A102" s="41">
        <v>101</v>
      </c>
      <c r="B102" s="51" t="s">
        <v>112</v>
      </c>
      <c r="C102" s="52" t="s">
        <v>12</v>
      </c>
      <c r="D102" s="52">
        <v>1</v>
      </c>
      <c r="E102" s="53">
        <v>88000</v>
      </c>
      <c r="F102" s="54">
        <f>D102*E102</f>
        <v>88000</v>
      </c>
    </row>
    <row r="103" spans="1:8">
      <c r="A103" s="41">
        <v>102</v>
      </c>
      <c r="B103" s="55" t="s">
        <v>56</v>
      </c>
      <c r="C103" s="52" t="s">
        <v>12</v>
      </c>
      <c r="D103" s="52">
        <v>1</v>
      </c>
      <c r="E103" s="53">
        <v>6000</v>
      </c>
      <c r="F103" s="54">
        <f t="shared" si="13"/>
        <v>6000</v>
      </c>
    </row>
    <row r="104" spans="1:8" ht="15.75">
      <c r="A104" s="41">
        <v>93</v>
      </c>
      <c r="B104" s="47" t="s">
        <v>118</v>
      </c>
      <c r="C104" s="65" t="s">
        <v>119</v>
      </c>
      <c r="D104" s="65">
        <f>C106</f>
        <v>6</v>
      </c>
      <c r="E104" s="49">
        <v>140000</v>
      </c>
      <c r="F104" s="50">
        <v>0</v>
      </c>
      <c r="G104" s="58"/>
      <c r="H104" s="58"/>
    </row>
    <row r="105" spans="1:8" ht="46.5">
      <c r="A105" s="41">
        <v>103</v>
      </c>
      <c r="B105" s="16" t="s">
        <v>5</v>
      </c>
      <c r="C105" s="17"/>
      <c r="D105" s="17"/>
      <c r="E105" s="18"/>
      <c r="F105" s="40">
        <f>F80+F90+F92+F93+F91+F94+F104</f>
        <v>8672382.2341809236</v>
      </c>
    </row>
    <row r="106" spans="1:8">
      <c r="A106" s="41">
        <v>104</v>
      </c>
      <c r="B106" s="43" t="s">
        <v>26</v>
      </c>
      <c r="C106" s="38">
        <v>6</v>
      </c>
      <c r="D106" s="68" t="s">
        <v>47</v>
      </c>
      <c r="E106" s="68"/>
      <c r="F106" s="44">
        <f>F105/F6</f>
        <v>17752.059193509311</v>
      </c>
    </row>
    <row r="107" spans="1:8">
      <c r="A107"/>
      <c r="C107"/>
      <c r="D107"/>
      <c r="F107" s="1"/>
    </row>
    <row r="108" spans="1:8">
      <c r="A108"/>
      <c r="C108"/>
      <c r="D108"/>
      <c r="F108" s="1"/>
    </row>
    <row r="109" spans="1:8">
      <c r="A109"/>
      <c r="C109"/>
      <c r="D109"/>
      <c r="F109" s="1"/>
    </row>
    <row r="110" spans="1:8">
      <c r="A110"/>
      <c r="C110"/>
      <c r="D110"/>
      <c r="F110" s="1"/>
    </row>
  </sheetData>
  <mergeCells count="8">
    <mergeCell ref="C2:F2"/>
    <mergeCell ref="C3:F3"/>
    <mergeCell ref="A1:E1"/>
    <mergeCell ref="D106:E106"/>
    <mergeCell ref="C6:D6"/>
    <mergeCell ref="C4:F4"/>
    <mergeCell ref="C5:F5"/>
    <mergeCell ref="C7:F7"/>
  </mergeCells>
  <dataValidations count="5">
    <dataValidation type="list" allowBlank="1" showInputMessage="1" showErrorMessage="1" sqref="B24:B37">
      <formula1>кровля</formula1>
    </dataValidation>
    <dataValidation type="list" allowBlank="1" showInputMessage="1" showErrorMessage="1" sqref="B58:B62 B64:B65">
      <formula1>отделка</formula1>
    </dataValidation>
    <dataValidation type="list" allowBlank="1" showInputMessage="1" showErrorMessage="1" sqref="B73:B74 B68:B70">
      <formula1>лестницы</formula1>
    </dataValidation>
    <dataValidation type="list" allowBlank="1" showInputMessage="1" showErrorMessage="1" sqref="B67 B72">
      <formula1>прочие</formula1>
    </dataValidation>
    <dataValidation type="list" allowBlank="1" showInputMessage="1" showErrorMessage="1" sqref="B16:B21">
      <formula1>наружныестены</formula1>
    </dataValidation>
  </dataValidation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2014-06-25T09:40:24Z</cp:lastPrinted>
  <dcterms:created xsi:type="dcterms:W3CDTF">2013-11-27T09:44:20Z</dcterms:created>
  <dcterms:modified xsi:type="dcterms:W3CDTF">2014-07-07T16:06:01Z</dcterms:modified>
</cp:coreProperties>
</file>