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70" windowWidth="20730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25725"/>
</workbook>
</file>

<file path=xl/calcChain.xml><?xml version="1.0" encoding="utf-8"?>
<calcChain xmlns="http://schemas.openxmlformats.org/spreadsheetml/2006/main">
  <c r="D56" i="1"/>
  <c r="F97" l="1"/>
  <c r="F96"/>
  <c r="F95"/>
  <c r="F64"/>
  <c r="C64"/>
  <c r="F62"/>
  <c r="D71"/>
  <c r="F71" s="1"/>
  <c r="D67"/>
  <c r="D65" s="1"/>
  <c r="F65" s="1"/>
  <c r="D58"/>
  <c r="D53"/>
  <c r="F72"/>
  <c r="F59"/>
  <c r="F61"/>
  <c r="F57"/>
  <c r="D68" l="1"/>
  <c r="D63"/>
  <c r="F63"/>
  <c r="D73"/>
  <c r="F73" s="1"/>
  <c r="F52" l="1"/>
  <c r="C52"/>
  <c r="F43"/>
  <c r="F44"/>
  <c r="D48"/>
  <c r="F26"/>
  <c r="C24"/>
  <c r="F24"/>
  <c r="D60" l="1"/>
  <c r="F60" s="1"/>
  <c r="F53" l="1"/>
  <c r="D54"/>
  <c r="F28"/>
  <c r="F54" l="1"/>
  <c r="F56" l="1"/>
  <c r="F58" l="1"/>
  <c r="F55"/>
  <c r="D34" l="1"/>
  <c r="E21"/>
  <c r="E20"/>
  <c r="F6"/>
  <c r="D27" s="1"/>
  <c r="D25" l="1"/>
  <c r="D29"/>
  <c r="F29" s="1"/>
  <c r="F27"/>
  <c r="F93"/>
  <c r="F21"/>
  <c r="F20"/>
  <c r="D70" l="1"/>
  <c r="F90" l="1"/>
  <c r="F77"/>
  <c r="C76"/>
  <c r="D88"/>
  <c r="F88" s="1"/>
  <c r="D83"/>
  <c r="C70"/>
  <c r="C68"/>
  <c r="C66"/>
  <c r="D37"/>
  <c r="C37"/>
  <c r="C36"/>
  <c r="C35"/>
  <c r="F34"/>
  <c r="F33"/>
  <c r="C33"/>
  <c r="C32"/>
  <c r="F31"/>
  <c r="C31"/>
  <c r="E30"/>
  <c r="C30"/>
  <c r="C25"/>
  <c r="F19"/>
  <c r="C15"/>
  <c r="F14"/>
  <c r="D12"/>
  <c r="F12" s="1"/>
  <c r="F10"/>
  <c r="F83" l="1"/>
  <c r="D84"/>
  <c r="D85" s="1"/>
  <c r="D86" s="1"/>
  <c r="F76"/>
  <c r="F78" s="1"/>
  <c r="F66"/>
  <c r="F70"/>
  <c r="F68"/>
  <c r="F32"/>
  <c r="F30"/>
  <c r="D15"/>
  <c r="F15" s="1"/>
  <c r="F35"/>
  <c r="F36"/>
  <c r="F37"/>
  <c r="F25"/>
  <c r="F18"/>
  <c r="F22" s="1"/>
  <c r="D13"/>
  <c r="F13" s="1"/>
  <c r="F11"/>
  <c r="F94"/>
  <c r="F92"/>
  <c r="F91" s="1"/>
  <c r="F38" l="1"/>
  <c r="F67"/>
  <c r="F74" l="1"/>
  <c r="F84"/>
  <c r="F16"/>
  <c r="C1" l="1"/>
  <c r="F85" l="1"/>
  <c r="F42"/>
  <c r="F47"/>
  <c r="F40" l="1"/>
  <c r="F41"/>
  <c r="F45" l="1"/>
  <c r="F86"/>
  <c r="F87" l="1"/>
  <c r="F48"/>
  <c r="F49" s="1"/>
  <c r="F79" l="1"/>
  <c r="A1"/>
  <c r="F80" l="1"/>
  <c r="F81" s="1"/>
  <c r="F89" s="1"/>
  <c r="F98" l="1"/>
  <c r="F99" s="1"/>
</calcChain>
</file>

<file path=xl/sharedStrings.xml><?xml version="1.0" encoding="utf-8"?>
<sst xmlns="http://schemas.openxmlformats.org/spreadsheetml/2006/main" count="161" uniqueCount="110">
  <si>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</si>
  <si>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</si>
  <si>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</si>
  <si>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</si>
  <si>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</si>
  <si>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</si>
  <si>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</si>
  <si>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</si>
  <si>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</si>
  <si>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</si>
  <si>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</si>
  <si>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</si>
  <si>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</si>
  <si>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</si>
  <si>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</si>
  <si>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</si>
  <si>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</si>
  <si>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</si>
  <si>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</si>
  <si>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</si>
  <si>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</si>
  <si>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</si>
  <si>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</si>
  <si>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</si>
  <si>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</si>
  <si>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</si>
  <si>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</si>
  <si>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</si>
  <si>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</si>
  <si>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Раздел 1. Фундамент</t>
  </si>
  <si>
    <t>СТЕНЫ</t>
  </si>
  <si>
    <t>Раздел 5. Проемы (стандартные окна включены в стоимость)</t>
  </si>
  <si>
    <t>ПОТОЛОК</t>
  </si>
  <si>
    <t>Раздел 7. Отделочные работы</t>
  </si>
  <si>
    <t>Цена за м2:</t>
  </si>
  <si>
    <t>Описание модулей:</t>
  </si>
  <si>
    <t>Общая площадь, м2:</t>
  </si>
  <si>
    <t>Толщина сэндвич-панелей (стены/потолок/пол), мм:</t>
  </si>
  <si>
    <t>Винтовые сваи диам.114мм L=3,5м.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</si>
  <si>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</si>
  <si>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</si>
  <si>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</si>
  <si>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</si>
  <si>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</si>
  <si>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</si>
  <si>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Монтаж металлоконструкций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</si>
  <si>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</si>
  <si>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</si>
  <si>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</si>
  <si>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</si>
  <si>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</si>
  <si>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</si>
  <si>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</si>
  <si>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</si>
  <si>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</si>
  <si>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Клей для кафеля и керамогранита</t>
  </si>
  <si>
    <t>Монтаж облицовки потолков</t>
  </si>
  <si>
    <t>%</t>
  </si>
  <si>
    <t>Монтаж металлоконструкций крыльц</t>
  </si>
  <si>
    <t xml:space="preserve">Раздел 10. Инженерные сети </t>
  </si>
  <si>
    <t>Раздел 11. Проектные работы</t>
  </si>
  <si>
    <t>Раздел 12. Накладные расходы</t>
  </si>
  <si>
    <t>Раздел 13. Аренда автокрана</t>
  </si>
  <si>
    <t>Раздел 14. Сантехническое оборудование:</t>
  </si>
  <si>
    <t>вн. высота 2,7м</t>
  </si>
  <si>
    <t>Септик 5 м3 с монтажём и присоединением под ключ</t>
  </si>
  <si>
    <t>МЗ ФАП</t>
  </si>
  <si>
    <t>ЭССО</t>
  </si>
  <si>
    <t>г. Калининград</t>
  </si>
  <si>
    <t>Модуль без 1 длинной  стороны, 9*2,442м, 100/150/150</t>
  </si>
  <si>
    <t>Модуль без 2 длинных сторон, 9*2,442м, 100/150/150</t>
  </si>
  <si>
    <t>Монтаж кровли из металлочерепицы</t>
  </si>
  <si>
    <t>Металлочерепица б=0,7мм</t>
  </si>
  <si>
    <t>Монтаж обрешётки кровли из доски б=25мм с прозорами</t>
  </si>
  <si>
    <t>Доска б=25мм обработанная огнезащитным составом</t>
  </si>
  <si>
    <t>Дверь входная металлическая 1,2*2,2м</t>
  </si>
  <si>
    <t>Рольставни для окон</t>
  </si>
  <si>
    <t>Установка рольставен</t>
  </si>
  <si>
    <t>Монтаж облицовки стен кафелем</t>
  </si>
  <si>
    <t>Плитка настенная Береста желтая 20*30</t>
  </si>
  <si>
    <t>Стекломагниевый лист</t>
  </si>
  <si>
    <t>ЕвроВагонка 14х90х2500</t>
  </si>
  <si>
    <t>Комплектующие для подсистемы (кронштейны, профиль, соединители, саморезы)</t>
  </si>
  <si>
    <t>Монтаж облицовки стен</t>
  </si>
  <si>
    <t>Окраска стен моющимися ВЭД красками</t>
  </si>
  <si>
    <t>Окраска потолков моющимися ВЭД красками</t>
  </si>
  <si>
    <t>кг</t>
  </si>
  <si>
    <t>Краска ВЭД водостойкая 0,12кг на 1м2</t>
  </si>
  <si>
    <t>Плитка для пола Соло Крема</t>
  </si>
  <si>
    <t>Раздел 8. Лестницы, крыльца, пандус</t>
  </si>
  <si>
    <t>Конструкции металлические крыльца с лестницой, пандуса с покрытием рифлёным металлическим листом</t>
  </si>
  <si>
    <t>тн</t>
  </si>
  <si>
    <t>Бетона В15</t>
  </si>
  <si>
    <t>м3</t>
  </si>
  <si>
    <t>Устройство полов бетонных, б=50мм</t>
  </si>
  <si>
    <t>Армирование конструкций полов</t>
  </si>
  <si>
    <t>Сетка арматурная 5ВрI яч. 50х50мм</t>
  </si>
  <si>
    <t>Электроконветоры "Балу"</t>
  </si>
  <si>
    <t>Водонагреватель "Аристон", 30л</t>
  </si>
  <si>
    <t>Тепловая завеса 2кВт</t>
  </si>
  <si>
    <t>100/150/150</t>
  </si>
  <si>
    <t xml:space="preserve">Вентиляция (материалы) </t>
  </si>
  <si>
    <t>Водоснабжение, канализация (материалы) с узлами учёта</t>
  </si>
  <si>
    <t>АОПС (материалы)</t>
  </si>
  <si>
    <t>-</t>
  </si>
  <si>
    <t>Двери внутренние стандартные металлопластиковые</t>
  </si>
  <si>
    <t>Электрика  (материалы) в т.ч. для электроотопления и освещения + дежурного освещения</t>
  </si>
  <si>
    <t>Унитаз с обвязкой</t>
  </si>
  <si>
    <t>Раковина + смеситель с обвязкой</t>
  </si>
  <si>
    <t>Неучтенные работы и материалы (около 1 %)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</si>
</sst>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164" fontId="9" fillId="4" borderId="1" xfId="1" applyFont="1" applyFill="1" applyBorder="1" applyAlignment="1">
      <alignment horizontal="right" wrapText="1"/>
    </xf>
    <xf numFmtId="16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6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164" fontId="4" fillId="4" borderId="1" xfId="1" applyFont="1" applyFill="1" applyBorder="1" applyAlignment="1">
      <alignment horizontal="center" wrapText="1"/>
    </xf>
    <xf numFmtId="16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16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16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164" fontId="17" fillId="0" borderId="1" xfId="1" applyFont="1" applyFill="1" applyBorder="1" applyAlignment="1">
      <alignment wrapText="1"/>
    </xf>
    <xf numFmtId="16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164" fontId="2" fillId="2" borderId="4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0;&#1047;%20&#1086;&#1073;&#1097;&#1077;&#1078;&#1080;&#1090;&#1080;&#1077;%203&#1101;&#1090;,%203535&#1084;2%20-%20&#1057;&#1077;&#1074;&#1077;&#1088;&#1085;&#1099;&#1081;%20&#1071;&#1084;&#1072;&#1083;/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Отделка'!$A$1:$C$72" sheetId="11"/>
      <definedName name="Прайс" refersTo="='Полы, перекрытия'!$A$1:$C$65" sheetId="3"/>
    </definedNames>
    <sheetDataSet>
      <sheetData sheetId="0">
        <row r="1">
          <cell r="A1" t="str">
            <v>Общежитие для вахтового посёлка</v>
          </cell>
          <cell r="B1" t="str">
            <v>Общежитие для вахтового посёлка</v>
          </cell>
        </row>
        <row r="2">
          <cell r="A2">
            <v>1</v>
          </cell>
          <cell r="B2" t="str">
            <v>Наименование объекта:</v>
          </cell>
          <cell r="C2" t="str">
            <v>Общежитие для вахтового посёлка</v>
          </cell>
        </row>
        <row r="3">
          <cell r="A3">
            <v>2</v>
          </cell>
          <cell r="B3" t="str">
            <v>Заказчик:</v>
          </cell>
          <cell r="C3" t="str">
            <v>Газпром, НПА Вира Реалтайм</v>
          </cell>
        </row>
        <row r="4">
          <cell r="A4">
            <v>3</v>
          </cell>
          <cell r="B4" t="str">
            <v>Место строительства:</v>
          </cell>
          <cell r="C4" t="str">
            <v>Северный Ямал</v>
          </cell>
        </row>
        <row r="5">
          <cell r="A5">
            <v>4</v>
          </cell>
          <cell r="B5" t="str">
            <v>Площадь здания по осям:</v>
          </cell>
          <cell r="C5">
            <v>1148.3999999999999</v>
          </cell>
        </row>
        <row r="6">
          <cell r="A6">
            <v>5</v>
          </cell>
          <cell r="B6" t="str">
            <v>Этажность здания:</v>
          </cell>
          <cell r="C6">
            <v>3</v>
          </cell>
        </row>
        <row r="7">
          <cell r="A7">
            <v>6</v>
          </cell>
          <cell r="B7" t="str">
            <v>Длина/ширина</v>
          </cell>
          <cell r="C7" t="str">
            <v>66х17,4м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3,3/16,64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250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250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-</v>
          </cell>
        </row>
        <row r="12">
          <cell r="A12">
            <v>11</v>
          </cell>
          <cell r="B12" t="str">
            <v>Примечания:</v>
          </cell>
          <cell r="C12" t="str">
            <v>-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Разметка и вынос осей</v>
          </cell>
          <cell r="C14" t="str">
            <v>чел/час</v>
          </cell>
        </row>
        <row r="15">
          <cell r="A15">
            <v>14</v>
          </cell>
          <cell r="B15" t="str">
            <v>Работа бульдозера</v>
          </cell>
          <cell r="C15" t="str">
            <v>маш/час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>Свайное поле из буроопускных металлических свай 284шт длиной 14м диаметром 300мм</v>
          </cell>
        </row>
        <row r="21">
          <cell r="A21">
            <v>18</v>
          </cell>
          <cell r="B21" t="str">
            <v>Бурение скважин диам.200-300мм с погружением обсадной трубы</v>
          </cell>
          <cell r="C21" t="str">
            <v>м</v>
          </cell>
        </row>
        <row r="22">
          <cell r="A22">
            <v>19</v>
          </cell>
          <cell r="B22" t="str">
            <v>Обсадная труба Ду 299х7,5мм</v>
          </cell>
          <cell r="C22" t="str">
            <v>тн</v>
          </cell>
        </row>
        <row r="23">
          <cell r="A23">
            <v>20</v>
          </cell>
          <cell r="B23" t="str">
            <v>Заполнение полых свай бетоном</v>
          </cell>
          <cell r="C23" t="str">
            <v>м3</v>
          </cell>
        </row>
        <row r="24">
          <cell r="A24">
            <v>21</v>
          </cell>
          <cell r="B24" t="str">
            <v>Приготовление бетона В15</v>
          </cell>
          <cell r="C24" t="str">
            <v>м3</v>
          </cell>
        </row>
        <row r="25">
          <cell r="B25" t="str">
            <v>Цемент М-600</v>
          </cell>
          <cell r="C25" t="str">
            <v>тн</v>
          </cell>
        </row>
        <row r="26">
          <cell r="B26" t="str">
            <v>Щебень строительный ( фракция 20-40)</v>
          </cell>
          <cell r="C26" t="str">
            <v>м3</v>
          </cell>
        </row>
        <row r="27">
          <cell r="B27" t="str">
            <v>Песок</v>
          </cell>
          <cell r="C27" t="str">
            <v>м3</v>
          </cell>
        </row>
        <row r="28">
          <cell r="A28">
            <v>22</v>
          </cell>
          <cell r="B28" t="str">
            <v>Вода</v>
          </cell>
          <cell r="C28" t="str">
            <v>м3</v>
          </cell>
        </row>
        <row r="29">
          <cell r="B29" t="str">
            <v>Антикорозионная защита оголовков свай</v>
          </cell>
          <cell r="C29" t="str">
            <v>м2</v>
          </cell>
        </row>
        <row r="30">
          <cell r="B30" t="str">
            <v>Грунтовка ГФ-021</v>
          </cell>
          <cell r="C30" t="str">
            <v>кг</v>
          </cell>
        </row>
        <row r="31">
          <cell r="B31" t="str">
            <v>Мастика "Вектор" 0,25 кг/м2</v>
          </cell>
          <cell r="C31" t="str">
            <v>кг</v>
          </cell>
        </row>
        <row r="32">
          <cell r="A32">
            <v>23</v>
          </cell>
          <cell r="B32" t="str">
            <v>ИТОГО по разделу:</v>
          </cell>
        </row>
        <row r="33">
          <cell r="A33">
            <v>24</v>
          </cell>
          <cell r="B33" t="str">
            <v>Наружные стены холодного подполья</v>
          </cell>
        </row>
        <row r="34">
          <cell r="A34">
            <v>25</v>
          </cell>
          <cell r="B34" t="str">
            <v>Устройство песчанного основания</v>
          </cell>
          <cell r="C34" t="str">
            <v>м3</v>
          </cell>
        </row>
        <row r="35">
          <cell r="A35">
            <v>26</v>
          </cell>
          <cell r="B35" t="str">
            <v>Песок</v>
          </cell>
          <cell r="C35" t="str">
            <v>м3</v>
          </cell>
        </row>
        <row r="36">
          <cell r="A36">
            <v>27</v>
          </cell>
          <cell r="B36" t="str">
            <v>Устройство стен фундаментов из блоков ФБС</v>
          </cell>
          <cell r="C36" t="str">
            <v>шт</v>
          </cell>
        </row>
        <row r="37">
          <cell r="A37" t="e">
            <v>#REF!</v>
          </cell>
          <cell r="B37" t="str">
            <v>Блоки ФБС 24.3.6т</v>
          </cell>
          <cell r="C37" t="str">
            <v>шт</v>
          </cell>
        </row>
        <row r="38">
          <cell r="B38" t="str">
            <v>Устройство ж/б конструкций монолитного пояса</v>
          </cell>
          <cell r="C38" t="str">
            <v>м3</v>
          </cell>
        </row>
        <row r="39">
          <cell r="B39" t="str">
            <v>Приготовление бетона В15</v>
          </cell>
          <cell r="C39" t="str">
            <v>м3</v>
          </cell>
        </row>
        <row r="40">
          <cell r="B40" t="str">
            <v>Цемент М-600</v>
          </cell>
          <cell r="C40" t="str">
            <v>тн</v>
          </cell>
        </row>
        <row r="41">
          <cell r="A41" t="e">
            <v>#REF!</v>
          </cell>
          <cell r="B41" t="str">
            <v>Щебень строительный ( фракция 20-40)</v>
          </cell>
          <cell r="C41" t="str">
            <v>м3</v>
          </cell>
        </row>
        <row r="42">
          <cell r="A42" t="e">
            <v>#REF!</v>
          </cell>
          <cell r="B42" t="str">
            <v>Песок</v>
          </cell>
          <cell r="C42" t="str">
            <v>м3</v>
          </cell>
        </row>
        <row r="43">
          <cell r="A43" t="e">
            <v>#REF!</v>
          </cell>
          <cell r="B43" t="str">
            <v>Вода</v>
          </cell>
          <cell r="C43" t="str">
            <v>м3</v>
          </cell>
        </row>
        <row r="44">
          <cell r="B44" t="str">
            <v>Изготовление арматурных сеток и каркасов</v>
          </cell>
          <cell r="C44" t="str">
            <v>тн</v>
          </cell>
        </row>
        <row r="45">
          <cell r="B45" t="str">
            <v>Арматура</v>
          </cell>
          <cell r="C45" t="str">
            <v>т</v>
          </cell>
        </row>
        <row r="46">
          <cell r="A46" t="e">
            <v>#REF!</v>
          </cell>
          <cell r="B46" t="str">
            <v>ИТОГО по разделу:</v>
          </cell>
        </row>
        <row r="47">
          <cell r="A47" t="e">
            <v>#REF!</v>
          </cell>
          <cell r="B47" t="str">
            <v>Полы и прекрытия</v>
          </cell>
        </row>
        <row r="48">
          <cell r="A48" t="e">
            <v>#REF!</v>
          </cell>
          <cell r="B48" t="str">
            <v>Монтаж плит перекрытия до 10м2</v>
          </cell>
          <cell r="C48" t="str">
            <v>шт</v>
          </cell>
        </row>
        <row r="49">
          <cell r="A49" t="e">
            <v>#REF!</v>
          </cell>
          <cell r="B49" t="str">
            <v>Плита перекрытия ПК 72.12-8АтVт</v>
          </cell>
          <cell r="C49" t="str">
            <v>шт</v>
          </cell>
        </row>
        <row r="50">
          <cell r="B50" t="str">
            <v>Монтаж плит перекрытия до 5м2</v>
          </cell>
          <cell r="C50" t="str">
            <v>шт</v>
          </cell>
        </row>
        <row r="51">
          <cell r="B51" t="str">
            <v>Плита перекрытия ПК 30.12-8т</v>
          </cell>
          <cell r="C51" t="str">
            <v>шт</v>
          </cell>
        </row>
        <row r="52">
          <cell r="B52" t="str">
            <v>Устройство выравнивающей стяжки б=20мм</v>
          </cell>
          <cell r="C52" t="str">
            <v>м2</v>
          </cell>
        </row>
        <row r="53">
          <cell r="B53" t="str">
            <v>Приготовление пескобетона В7,5</v>
          </cell>
          <cell r="C53" t="str">
            <v>м3</v>
          </cell>
        </row>
        <row r="54">
          <cell r="B54" t="str">
            <v>Цемент М-600</v>
          </cell>
          <cell r="C54" t="str">
            <v>тн</v>
          </cell>
        </row>
        <row r="55">
          <cell r="B55" t="str">
            <v>Песок</v>
          </cell>
          <cell r="C55" t="str">
            <v>м3</v>
          </cell>
        </row>
        <row r="56">
          <cell r="B56" t="str">
            <v>Вода</v>
          </cell>
          <cell r="C56" t="str">
            <v>м3</v>
          </cell>
        </row>
        <row r="57">
          <cell r="B57" t="str">
            <v>Устройство гидро-пароизоляции прокладочной</v>
          </cell>
          <cell r="C57" t="str">
            <v>м2</v>
          </cell>
        </row>
        <row r="58">
          <cell r="B58" t="str">
            <v>ИЗОСПАН (гидро-пароизоляция)</v>
          </cell>
          <cell r="C58" t="str">
            <v>м2</v>
          </cell>
        </row>
        <row r="59">
          <cell r="B59" t="str">
            <v>Монтаж утеплителя без крепления</v>
          </cell>
          <cell r="C59" t="str">
            <v>м2</v>
          </cell>
        </row>
        <row r="60">
          <cell r="B60" t="str">
            <v>Утеплитель из экструдированного пенополистирола</v>
          </cell>
          <cell r="C60" t="str">
            <v>м3</v>
          </cell>
        </row>
        <row r="61">
          <cell r="B61" t="str">
            <v>Устройство полов бетонных</v>
          </cell>
          <cell r="C61" t="str">
            <v>м3</v>
          </cell>
        </row>
        <row r="62">
          <cell r="B62" t="str">
            <v>Приготовление бетона В15</v>
          </cell>
          <cell r="C62" t="str">
            <v>м3</v>
          </cell>
        </row>
        <row r="63">
          <cell r="B63" t="str">
            <v>Цемент М-600</v>
          </cell>
          <cell r="C63" t="str">
            <v>тн</v>
          </cell>
        </row>
        <row r="64">
          <cell r="B64" t="str">
            <v>Щебень строительный ( фракция 20-40)</v>
          </cell>
          <cell r="C64" t="str">
            <v>м3</v>
          </cell>
        </row>
        <row r="65">
          <cell r="B65" t="str">
            <v>Песок</v>
          </cell>
          <cell r="C65" t="str">
            <v>м3</v>
          </cell>
        </row>
        <row r="66">
          <cell r="B66" t="str">
            <v>Вода</v>
          </cell>
          <cell r="C66" t="str">
            <v>м3</v>
          </cell>
        </row>
        <row r="67">
          <cell r="B67" t="str">
            <v>Армирование конструкций полов</v>
          </cell>
          <cell r="C67" t="str">
            <v>т</v>
          </cell>
        </row>
        <row r="68">
          <cell r="B68" t="str">
            <v>Арматура диам.12мм, яч.200х200мм</v>
          </cell>
          <cell r="C68" t="str">
            <v>т</v>
          </cell>
        </row>
        <row r="69">
          <cell r="A69" t="e">
            <v>#REF!</v>
          </cell>
          <cell r="B69" t="str">
            <v>ИТОГО по разделу:</v>
          </cell>
        </row>
        <row r="70">
          <cell r="A70" t="e">
            <v>#REF!</v>
          </cell>
          <cell r="B70" t="str">
            <v>Металлокаркас:</v>
          </cell>
        </row>
        <row r="71">
          <cell r="A71" t="e">
            <v>#REF!</v>
          </cell>
          <cell r="B71" t="str">
            <v>Монтаж металлоконструкций</v>
          </cell>
          <cell r="C71" t="str">
            <v>т</v>
          </cell>
        </row>
        <row r="72">
          <cell r="A72" t="e">
            <v>#REF!</v>
          </cell>
          <cell r="B72" t="str">
            <v>Металлоконструкции каркаса, кровли, козырьков и лестниц заводского изготовления</v>
          </cell>
          <cell r="C72" t="str">
            <v>т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Армирование конструкций полов</v>
          </cell>
          <cell r="B8" t="str">
            <v>т</v>
          </cell>
          <cell r="C8">
            <v>9000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Монтаж плит перекрытия до 10м2</v>
          </cell>
          <cell r="B10" t="str">
            <v>шт</v>
          </cell>
          <cell r="C10">
            <v>650</v>
          </cell>
        </row>
        <row r="11">
          <cell r="A11" t="str">
            <v>Монтаж плит перекрытия до 5м2</v>
          </cell>
          <cell r="B11" t="str">
            <v>шт</v>
          </cell>
          <cell r="C11">
            <v>350</v>
          </cell>
        </row>
        <row r="12">
          <cell r="A12" t="str">
            <v>Плита перекрытия ПК 72.12-8АтVт</v>
          </cell>
          <cell r="B12" t="str">
            <v>шт</v>
          </cell>
          <cell r="C12">
            <v>10800</v>
          </cell>
        </row>
        <row r="13">
          <cell r="A13" t="str">
            <v>Плита перекрытия ПК 30.12-8т</v>
          </cell>
          <cell r="B13" t="str">
            <v>шт</v>
          </cell>
          <cell r="C13">
            <v>4000</v>
          </cell>
        </row>
        <row r="14">
          <cell r="A14" t="str">
            <v>Устройство выравнивающей стяжки б=20мм</v>
          </cell>
          <cell r="B14" t="str">
            <v>м2</v>
          </cell>
          <cell r="C14">
            <v>70</v>
          </cell>
        </row>
        <row r="15">
          <cell r="A15" t="str">
            <v>Приготовление пескобетона В7,5</v>
          </cell>
          <cell r="B15" t="str">
            <v>м3</v>
          </cell>
          <cell r="C15">
            <v>1800</v>
          </cell>
        </row>
        <row r="16">
          <cell r="A16" t="str">
            <v>Приготовление бетона В15</v>
          </cell>
          <cell r="B16" t="str">
            <v>м3</v>
          </cell>
          <cell r="C16">
            <v>1800</v>
          </cell>
        </row>
        <row r="17">
          <cell r="A17" t="str">
            <v>Цемент М-600</v>
          </cell>
          <cell r="B17" t="str">
            <v>тн</v>
          </cell>
          <cell r="C17">
            <v>3900</v>
          </cell>
        </row>
        <row r="18">
          <cell r="A18" t="str">
            <v>Щебень строительный ( фракция 20-40)</v>
          </cell>
          <cell r="B18" t="str">
            <v>м3</v>
          </cell>
          <cell r="C18">
            <v>730</v>
          </cell>
        </row>
        <row r="19">
          <cell r="A19" t="str">
            <v>Песок</v>
          </cell>
          <cell r="B19" t="str">
            <v>м3</v>
          </cell>
          <cell r="C19">
            <v>680</v>
          </cell>
        </row>
        <row r="20">
          <cell r="A20" t="str">
            <v>Вода</v>
          </cell>
          <cell r="B20" t="str">
            <v>м3</v>
          </cell>
          <cell r="C20">
            <v>11.8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>Устройство утеплителя</v>
          </cell>
          <cell r="B26" t="str">
            <v>м3</v>
          </cell>
          <cell r="C26">
            <v>500</v>
          </cell>
        </row>
        <row r="27">
          <cell r="A27" t="str">
            <v>Устройство щебеночной подготовки</v>
          </cell>
          <cell r="B27" t="str">
            <v>м3</v>
          </cell>
          <cell r="C27">
            <v>250</v>
          </cell>
        </row>
        <row r="28">
          <cell r="A28" t="str">
            <v>Утеплитель пенополистирол 100 мм</v>
          </cell>
          <cell r="B28" t="str">
            <v>м3</v>
          </cell>
          <cell r="C28">
            <v>5000</v>
          </cell>
        </row>
        <row r="29">
          <cell r="A29" t="str">
            <v>Щебень</v>
          </cell>
          <cell r="B29" t="str">
            <v>м3</v>
          </cell>
          <cell r="C29">
            <v>600</v>
          </cell>
        </row>
        <row r="30">
          <cell r="A30" t="str">
            <v>Плита перекрытия ПК 60.15-8АтVт</v>
          </cell>
          <cell r="B30" t="str">
            <v>шт</v>
          </cell>
          <cell r="C30">
            <v>9600</v>
          </cell>
        </row>
        <row r="31">
          <cell r="A31" t="str">
            <v>Бетон В 7,5</v>
          </cell>
          <cell r="B31" t="str">
            <v>м3</v>
          </cell>
          <cell r="C31">
            <v>3650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каркаса, кровли, козырьков и лестниц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C56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Дверь стальная Витязь (Златомир) селекция 0,91*2,1</v>
          </cell>
          <cell r="B2" t="str">
            <v>шт</v>
          </cell>
          <cell r="C2">
            <v>13500</v>
          </cell>
        </row>
        <row r="3">
          <cell r="A3" t="str">
            <v>Дверь внутренняя</v>
          </cell>
          <cell r="B3" t="str">
            <v>шт</v>
          </cell>
          <cell r="C3">
            <v>5000</v>
          </cell>
        </row>
        <row r="4">
          <cell r="A4" t="str">
            <v>Монтаж дверей</v>
          </cell>
          <cell r="B4" t="str">
            <v>шт</v>
          </cell>
          <cell r="C4">
            <v>1000</v>
          </cell>
        </row>
        <row r="5">
          <cell r="A5" t="str">
            <v>Двери входная металлическая утеплённая 1,31*2,1</v>
          </cell>
          <cell r="B5" t="str">
            <v>шт</v>
          </cell>
          <cell r="C5">
            <v>17500</v>
          </cell>
        </row>
        <row r="6">
          <cell r="A6" t="str">
            <v>Дверь внутренняя межкомнатная, мазонитовая, 0,71*2,1</v>
          </cell>
          <cell r="B6" t="str">
            <v>шт</v>
          </cell>
          <cell r="C6">
            <v>3800</v>
          </cell>
        </row>
        <row r="7">
          <cell r="A7" t="str">
            <v>Дверь Гладкая ПВХ (фабрика "Verda" г. Одинцово), 0,71*2,1</v>
          </cell>
          <cell r="B7" t="str">
            <v>шт</v>
          </cell>
          <cell r="C7">
            <v>2100</v>
          </cell>
        </row>
        <row r="8">
          <cell r="A8" t="str">
            <v>Дверь стальная Витязь (Ярополк ДС) г. Воронеж, 1,31*2,1</v>
          </cell>
          <cell r="B8" t="str">
            <v>шт</v>
          </cell>
          <cell r="C8">
            <v>17700</v>
          </cell>
        </row>
        <row r="9">
          <cell r="A9" t="str">
            <v>Двери входная металлическая утеплённая 1,81*2,1</v>
          </cell>
          <cell r="B9" t="str">
            <v>шт</v>
          </cell>
          <cell r="C9">
            <v>24600</v>
          </cell>
        </row>
        <row r="10">
          <cell r="A10" t="str">
            <v>Двери входная металлическая противопожарная, утеплённая 0,9*2,1</v>
          </cell>
          <cell r="B10" t="str">
            <v>шт</v>
          </cell>
          <cell r="C10">
            <v>15456</v>
          </cell>
        </row>
        <row r="11">
          <cell r="A11" t="str">
            <v>Двери входная металлическая противопожарная, утеплённая 1,3*2,1</v>
          </cell>
          <cell r="B11" t="str">
            <v>шт</v>
          </cell>
          <cell r="C11">
            <v>23184</v>
          </cell>
        </row>
        <row r="12">
          <cell r="A12" t="str">
            <v>Двери ламинированные одностворчатые, размер полотна 800х1900мм</v>
          </cell>
          <cell r="B12" t="str">
            <v>шт</v>
          </cell>
          <cell r="C12">
            <v>5016</v>
          </cell>
        </row>
        <row r="13">
          <cell r="A13" t="str">
            <v>Двери ламинированные полуторастворчатые, размер полотна 1200х1900мм</v>
          </cell>
          <cell r="B13" t="str">
            <v>шт</v>
          </cell>
          <cell r="C13">
            <v>7524</v>
          </cell>
        </row>
        <row r="14">
          <cell r="A14" t="str">
            <v>Двери ПВХ одностворчатые, размер полотна 700х1900мм/800х1900мм</v>
          </cell>
          <cell r="B14" t="str">
            <v>шт</v>
          </cell>
          <cell r="C14">
            <v>2736</v>
          </cell>
        </row>
        <row r="15">
          <cell r="A15" t="str">
            <v>Двери противопожарные одностворчатые, размер полотна 800х2050мм</v>
          </cell>
          <cell r="B15" t="str">
            <v>шт</v>
          </cell>
          <cell r="C15">
            <v>12070.4</v>
          </cell>
        </row>
        <row r="16">
          <cell r="A16" t="str">
            <v>Двери противопожарные полуторастворчатые, размер полотна 1200х2050мм</v>
          </cell>
          <cell r="B16" t="str">
            <v>шт</v>
          </cell>
          <cell r="C16">
            <v>18105.599999999999</v>
          </cell>
        </row>
        <row r="17">
          <cell r="A17" t="str">
            <v xml:space="preserve">Дверной доводчик (Diplomat, Dorma, King и др.) </v>
          </cell>
          <cell r="B17" t="str">
            <v>шт</v>
          </cell>
          <cell r="C17">
            <v>1250</v>
          </cell>
        </row>
        <row r="18">
          <cell r="A18" t="str">
            <v>Монтаж доводчиков дверных</v>
          </cell>
          <cell r="B18" t="str">
            <v>шт</v>
          </cell>
          <cell r="C18">
            <v>450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 с москитной сеткой, подоконником и коплектом откосов</v>
          </cell>
          <cell r="B2" t="str">
            <v>м2</v>
          </cell>
          <cell r="C2">
            <v>4500</v>
          </cell>
        </row>
        <row r="3">
          <cell r="A3" t="str">
            <v>Монтаж окон с установкой подоконника и обшивкой откосов</v>
          </cell>
          <cell r="B3" t="str">
            <v>м2</v>
          </cell>
          <cell r="C3">
            <v>1250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  <row r="4">
          <cell r="A4" t="str">
            <v>Кладка стен из кирпича М100</v>
          </cell>
          <cell r="B4" t="str">
            <v>м3</v>
          </cell>
          <cell r="C4">
            <v>1350</v>
          </cell>
        </row>
        <row r="5">
          <cell r="A5" t="str">
            <v xml:space="preserve">Кладка перегородок из 1/2 кирпича М100, </v>
          </cell>
          <cell r="B5" t="str">
            <v>м2</v>
          </cell>
          <cell r="C5">
            <v>200</v>
          </cell>
        </row>
        <row r="6">
          <cell r="A6" t="str">
            <v>Кирпич М100</v>
          </cell>
          <cell r="B6" t="str">
            <v>шт</v>
          </cell>
          <cell r="C6">
            <v>9</v>
          </cell>
        </row>
        <row r="7">
          <cell r="A7" t="str">
            <v>Приготовление раствора М100</v>
          </cell>
          <cell r="B7" t="str">
            <v>м3</v>
          </cell>
          <cell r="C7">
            <v>1800</v>
          </cell>
        </row>
        <row r="8">
          <cell r="A8" t="str">
            <v>Цемент М-600</v>
          </cell>
          <cell r="B8" t="str">
            <v>тн</v>
          </cell>
          <cell r="C8">
            <v>3900</v>
          </cell>
        </row>
        <row r="9">
          <cell r="A9" t="str">
            <v>Щебень строительный ( фракция 20-40)</v>
          </cell>
          <cell r="B9" t="str">
            <v>м3</v>
          </cell>
          <cell r="C9">
            <v>730</v>
          </cell>
        </row>
        <row r="10">
          <cell r="A10" t="str">
            <v>Песок</v>
          </cell>
          <cell r="B10" t="str">
            <v>м3</v>
          </cell>
          <cell r="C10">
            <v>680</v>
          </cell>
        </row>
        <row r="11">
          <cell r="A11" t="str">
            <v>Вода</v>
          </cell>
          <cell r="B11" t="str">
            <v>м3</v>
          </cell>
          <cell r="C11">
            <v>11.8</v>
          </cell>
        </row>
        <row r="12">
          <cell r="A12" t="str">
            <v>Кладка перегородок из сибита Б1</v>
          </cell>
          <cell r="B12" t="str">
            <v>м2</v>
          </cell>
          <cell r="C12">
            <v>180</v>
          </cell>
        </row>
        <row r="13">
          <cell r="A13" t="str">
            <v>Сибит Б1</v>
          </cell>
          <cell r="B13" t="str">
            <v>м3</v>
          </cell>
          <cell r="C13">
            <v>4500</v>
          </cell>
        </row>
        <row r="14">
          <cell r="A14" t="str">
            <v>Клей для газобетона автоклавного твердения СИБИТ</v>
          </cell>
          <cell r="B14" t="str">
            <v>кг</v>
          </cell>
          <cell r="C14">
            <v>7.5</v>
          </cell>
        </row>
        <row r="15">
          <cell r="A15" t="str">
            <v>Устройство перегородок из гипсокартонных листов (ГКЛ) по системе «КНАУФ» с одинарным металлическим каркасом однослойной обшивкой с обеих сторон и заполнением утеплителем б=50мм</v>
          </cell>
          <cell r="B15" t="str">
            <v>м2</v>
          </cell>
          <cell r="C15">
            <v>350</v>
          </cell>
        </row>
        <row r="16">
          <cell r="A16" t="str">
            <v>Комплектующие для подсистемы ГВЛ</v>
          </cell>
          <cell r="B16" t="str">
            <v>м2</v>
          </cell>
          <cell r="C16">
            <v>175</v>
          </cell>
        </row>
        <row r="17">
          <cell r="A17" t="str">
            <v>Листы ГВЛ, б=12,5мм</v>
          </cell>
          <cell r="B17" t="str">
            <v>м2</v>
          </cell>
          <cell r="C17">
            <v>195</v>
          </cell>
        </row>
        <row r="18">
          <cell r="A18" t="str">
            <v>Утеплитель минераловатный</v>
          </cell>
          <cell r="B18" t="str">
            <v>м3</v>
          </cell>
          <cell r="C18">
            <v>3200</v>
          </cell>
        </row>
        <row r="19">
          <cell r="A19" t="str">
            <v>Перегородка, алюминий. Цвет: "Венге". Стекло</v>
          </cell>
          <cell r="B19" t="str">
            <v>м2</v>
          </cell>
          <cell r="C19">
            <v>2800</v>
          </cell>
        </row>
        <row r="20">
          <cell r="A20" t="str">
            <v>Монтаж остеклённых перегородок</v>
          </cell>
          <cell r="B20" t="str">
            <v>м2</v>
          </cell>
          <cell r="C20">
            <v>280</v>
          </cell>
        </row>
        <row r="21">
          <cell r="A21" t="str">
            <v>Облицовка перегородок из сендич-панелей листами ГВЛ в 1-слой с устройством подсистемы</v>
          </cell>
          <cell r="B21" t="str">
            <v>м2</v>
          </cell>
          <cell r="C21">
            <v>150</v>
          </cell>
        </row>
        <row r="22">
          <cell r="A22" t="str">
            <v>Пропитка с окраской облицовки ГВЛ ВЭД красками</v>
          </cell>
          <cell r="B22" t="str">
            <v>м2</v>
          </cell>
          <cell r="C22">
            <v>110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Приготовление бетона В15</v>
          </cell>
          <cell r="B7" t="str">
            <v>м3</v>
          </cell>
          <cell r="C7">
            <v>1800</v>
          </cell>
        </row>
        <row r="8">
          <cell r="A8" t="str">
            <v>Цемент М-600</v>
          </cell>
          <cell r="B8" t="str">
            <v>тн</v>
          </cell>
          <cell r="C8">
            <v>3900</v>
          </cell>
        </row>
        <row r="9">
          <cell r="A9" t="str">
            <v>Щебень строительный ( фракция 20-40)</v>
          </cell>
          <cell r="B9" t="str">
            <v>м3</v>
          </cell>
          <cell r="C9">
            <v>730</v>
          </cell>
        </row>
        <row r="10">
          <cell r="A10" t="str">
            <v>Песок</v>
          </cell>
          <cell r="B10" t="str">
            <v>м3</v>
          </cell>
          <cell r="C10">
            <v>680</v>
          </cell>
        </row>
        <row r="11">
          <cell r="A11" t="str">
            <v>Вода</v>
          </cell>
          <cell r="B11" t="str">
            <v>м3</v>
          </cell>
          <cell r="C11">
            <v>11.8</v>
          </cell>
        </row>
        <row r="12">
          <cell r="A12" t="str">
            <v>Устройство щебеночной подготовки под отмостку</v>
          </cell>
          <cell r="B12" t="str">
            <v>м3</v>
          </cell>
          <cell r="C12">
            <v>250</v>
          </cell>
        </row>
        <row r="13">
          <cell r="A13" t="str">
            <v>Бетон В 20</v>
          </cell>
          <cell r="B13" t="str">
            <v>м3</v>
          </cell>
          <cell r="C13">
            <v>4000</v>
          </cell>
        </row>
        <row r="14">
          <cell r="A14" t="str">
            <v>Устройство отмостки бетонной</v>
          </cell>
          <cell r="B14" t="str">
            <v>м3</v>
          </cell>
          <cell r="C14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  <row r="58">
          <cell r="A58" t="str">
            <v xml:space="preserve">    выключатель одноклавишный, для открытой установки</v>
          </cell>
          <cell r="B58" t="str">
            <v>шт</v>
          </cell>
          <cell r="C58">
            <v>50.59</v>
          </cell>
        </row>
        <row r="59">
          <cell r="A59" t="str">
            <v xml:space="preserve">    Выключатель одноклавишный, для скрытой установки</v>
          </cell>
          <cell r="B59" t="str">
            <v>шт</v>
          </cell>
          <cell r="C59">
            <v>50.59</v>
          </cell>
        </row>
        <row r="60">
          <cell r="A60" t="str">
            <v xml:space="preserve">    Выключатель ОП 1кл IP43</v>
          </cell>
          <cell r="B60" t="str">
            <v>шт</v>
          </cell>
          <cell r="C60">
            <v>85.6</v>
          </cell>
        </row>
        <row r="61">
          <cell r="A61" t="str">
            <v xml:space="preserve">    Выключатель ОП 2кл IP43</v>
          </cell>
          <cell r="B61" t="str">
            <v>шт</v>
          </cell>
          <cell r="C61">
            <v>95.7</v>
          </cell>
        </row>
        <row r="62">
          <cell r="A62" t="str">
            <v xml:space="preserve">    Выключатель СП 1кл</v>
          </cell>
          <cell r="B62" t="str">
            <v>шт</v>
          </cell>
          <cell r="C62">
            <v>38.200000000000003</v>
          </cell>
        </row>
        <row r="63">
          <cell r="A63" t="str">
            <v xml:space="preserve">    Выключатель СП 2кл</v>
          </cell>
          <cell r="B63" t="str">
            <v>шт</v>
          </cell>
          <cell r="C63">
            <v>45.3</v>
          </cell>
        </row>
        <row r="64">
          <cell r="A64" t="str">
            <v xml:space="preserve">    Гайка М6</v>
          </cell>
          <cell r="B64" t="str">
            <v>шт</v>
          </cell>
          <cell r="C64">
            <v>2.0299999999999998</v>
          </cell>
        </row>
        <row r="65">
          <cell r="A65" t="str">
            <v xml:space="preserve">    Гайка М8</v>
          </cell>
          <cell r="B65" t="str">
            <v>шт</v>
          </cell>
          <cell r="C65">
            <v>2.85</v>
          </cell>
        </row>
        <row r="66">
          <cell r="A66" t="str">
            <v xml:space="preserve">    Гребенка распределительная для автоматов щитов 1/2/3/4 полюсн.</v>
          </cell>
          <cell r="B66" t="str">
            <v>шт</v>
          </cell>
          <cell r="C66">
            <v>338.98</v>
          </cell>
        </row>
        <row r="67">
          <cell r="A67" t="str">
            <v xml:space="preserve">    Евророзетка 1ОП ПГ IP54 серия "ФОРС" РСб203ФСр</v>
          </cell>
          <cell r="B67" t="str">
            <v>шт</v>
          </cell>
          <cell r="C67">
            <v>66.94</v>
          </cell>
        </row>
        <row r="68">
          <cell r="A68" t="str">
            <v xml:space="preserve">    Евророзетка 2 ОП с з/шт. "Прима" Белый</v>
          </cell>
          <cell r="B68" t="str">
            <v>шт</v>
          </cell>
          <cell r="C68">
            <v>53.82</v>
          </cell>
        </row>
        <row r="69">
          <cell r="A69" t="str">
            <v xml:space="preserve">    Евророзетка 2ОП ПГ IP54 серия "ФОРС" РСб223ФСр</v>
          </cell>
          <cell r="B69" t="str">
            <v>шт</v>
          </cell>
          <cell r="C69">
            <v>104.67</v>
          </cell>
        </row>
        <row r="70">
          <cell r="A70" t="str">
            <v xml:space="preserve">    Евророзетка 4ОП с защ.шторками "Пралеска" РА16278</v>
          </cell>
          <cell r="B70" t="str">
            <v>шт</v>
          </cell>
          <cell r="C70">
            <v>164.16</v>
          </cell>
        </row>
        <row r="71">
          <cell r="A71" t="str">
            <v xml:space="preserve">    Заглушка 200х100</v>
          </cell>
          <cell r="B71" t="str">
            <v>шт</v>
          </cell>
          <cell r="C71">
            <v>215</v>
          </cell>
        </row>
        <row r="72">
          <cell r="A72" t="str">
            <v xml:space="preserve">    Заглушка торцевая ЗТ200х100</v>
          </cell>
          <cell r="B72" t="str">
            <v>шт</v>
          </cell>
          <cell r="C72">
            <v>72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  <row r="58">
          <cell r="A58" t="str">
            <v>Трубная изоляция Термафлекс "ТермаЭКО" Р-42 25мм</v>
          </cell>
          <cell r="B58" t="str">
            <v>м</v>
          </cell>
          <cell r="C58">
            <v>136</v>
          </cell>
        </row>
        <row r="59">
          <cell r="A59" t="str">
            <v>Трубная изоляция Термафлекс "ТермаЭКО" Р-54 25мм</v>
          </cell>
          <cell r="B59" t="str">
            <v>м</v>
          </cell>
          <cell r="C59">
            <v>160.5</v>
          </cell>
        </row>
        <row r="60">
          <cell r="A60" t="str">
            <v>Трубы стальные электросварные 159х4,5 мм 11,7м</v>
          </cell>
          <cell r="B60" t="str">
            <v>м</v>
          </cell>
          <cell r="C60">
            <v>255.63</v>
          </cell>
        </row>
        <row r="61">
          <cell r="A61" t="str">
            <v>трубы электросварные 89х3,5 НЗМ</v>
          </cell>
          <cell r="B61" t="str">
            <v>м</v>
          </cell>
          <cell r="C61">
            <v>255.9</v>
          </cell>
        </row>
        <row r="62">
          <cell r="A62" t="str">
            <v>Умывальник "ВЕНЕЦИЯ"  с/о, крепление 2299</v>
          </cell>
          <cell r="B62" t="str">
            <v>шт</v>
          </cell>
          <cell r="C62">
            <v>912.5</v>
          </cell>
        </row>
        <row r="63">
          <cell r="A63" t="str">
            <v>Унитаз-компакт "ПОЛЕСЬЕ" в комплекте с сид, кноп. арматурой</v>
          </cell>
          <cell r="B63" t="str">
            <v>шт</v>
          </cell>
          <cell r="C63">
            <v>2712.5</v>
          </cell>
        </row>
        <row r="64">
          <cell r="A64" t="str">
            <v>Фильтр ФМФ Ду100 Ру16 VP</v>
          </cell>
          <cell r="B64" t="str">
            <v>шт</v>
          </cell>
          <cell r="C64">
            <v>2191</v>
          </cell>
        </row>
        <row r="65">
          <cell r="A65" t="str">
            <v>Фильтр ФМФ Ду80 Ру16 VP</v>
          </cell>
          <cell r="B65" t="str">
            <v>шт</v>
          </cell>
          <cell r="C65">
            <v>1599</v>
          </cell>
        </row>
        <row r="66">
          <cell r="A66" t="str">
            <v>Фланец   Ду 100 Ру 16</v>
          </cell>
          <cell r="B66" t="str">
            <v>шт</v>
          </cell>
          <cell r="C66">
            <v>283.5</v>
          </cell>
        </row>
        <row r="67">
          <cell r="A67" t="str">
            <v>Фланец   Ду 65 Ру 16</v>
          </cell>
          <cell r="B67" t="str">
            <v>шт</v>
          </cell>
          <cell r="C67">
            <v>212.5</v>
          </cell>
        </row>
        <row r="68">
          <cell r="A68" t="str">
            <v>Фланец   Ду 80 Ру 16</v>
          </cell>
          <cell r="B68" t="str">
            <v>шт</v>
          </cell>
          <cell r="C68">
            <v>227.5</v>
          </cell>
        </row>
        <row r="69">
          <cell r="A69" t="str">
            <v>Шкаф пожарный ШПК-320 НЗ</v>
          </cell>
          <cell r="B69" t="str">
            <v>шт</v>
          </cell>
          <cell r="C69">
            <v>2580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- Дюбель-гвоздь</v>
          </cell>
          <cell r="B2" t="str">
            <v>уп</v>
          </cell>
          <cell r="C2">
            <v>120.54</v>
          </cell>
        </row>
        <row r="3">
          <cell r="A3" t="str">
            <v xml:space="preserve">   - Кабель Verticasa DropCable1Fo K1M LSOH</v>
          </cell>
          <cell r="B3" t="str">
            <v>м</v>
          </cell>
          <cell r="C3">
            <v>111.13</v>
          </cell>
        </row>
        <row r="4">
          <cell r="A4" t="str">
            <v xml:space="preserve">   - Кабель оптоволоконный ДПО-П-24А-2,7кН</v>
          </cell>
          <cell r="B4" t="str">
            <v>м</v>
          </cell>
          <cell r="C4">
            <v>39.74</v>
          </cell>
        </row>
        <row r="5">
          <cell r="A5" t="str">
            <v xml:space="preserve">   - Кабель оптоволоконный ДПТс-П-24А-3,5кН</v>
          </cell>
          <cell r="B5" t="str">
            <v>м</v>
          </cell>
          <cell r="C5">
            <v>40.58</v>
          </cell>
        </row>
        <row r="6">
          <cell r="A6" t="str">
            <v xml:space="preserve">   - Кабель-канал ТА-ЕN 25х30мм</v>
          </cell>
          <cell r="B6" t="str">
            <v>м</v>
          </cell>
          <cell r="C6">
            <v>64.34</v>
          </cell>
        </row>
        <row r="7">
          <cell r="A7" t="str">
            <v xml:space="preserve">   - Клипса д/труб металлорукава</v>
          </cell>
          <cell r="B7" t="str">
            <v>уп</v>
          </cell>
          <cell r="C7">
            <v>209.1</v>
          </cell>
        </row>
        <row r="8">
          <cell r="A8" t="str">
            <v xml:space="preserve">   - Металлорукав РЗ-ЦХ 32мм</v>
          </cell>
          <cell r="B8" t="str">
            <v>м</v>
          </cell>
          <cell r="C8">
            <v>27.49</v>
          </cell>
        </row>
        <row r="9">
          <cell r="A9" t="str">
            <v xml:space="preserve">   - Муфта МОГ-СПЛИТ/252-22-1КТ3645</v>
          </cell>
          <cell r="B9" t="str">
            <v>шт</v>
          </cell>
          <cell r="C9">
            <v>2348.1999999999998</v>
          </cell>
        </row>
        <row r="10">
          <cell r="A10" t="str">
            <v xml:space="preserve">   - Радиоприемник Лира РП-248-1</v>
          </cell>
          <cell r="B10" t="str">
            <v>шт</v>
          </cell>
          <cell r="C10">
            <v>1230</v>
          </cell>
        </row>
        <row r="11">
          <cell r="A11" t="str">
            <v xml:space="preserve">   - Розетка абоненская ШКОН-ПА-1</v>
          </cell>
          <cell r="B11" t="str">
            <v>шт</v>
          </cell>
          <cell r="C11">
            <v>35</v>
          </cell>
        </row>
        <row r="12">
          <cell r="A12" t="str">
            <v xml:space="preserve">   - Скоба для крепления трубы</v>
          </cell>
          <cell r="B12" t="str">
            <v>шт</v>
          </cell>
          <cell r="C12">
            <v>1.4</v>
          </cell>
        </row>
        <row r="13">
          <cell r="A13" t="str">
            <v xml:space="preserve">   - Труба гофрированная ПНД ф25</v>
          </cell>
          <cell r="B13" t="str">
            <v>м</v>
          </cell>
          <cell r="C13">
            <v>6.25</v>
          </cell>
        </row>
        <row r="14">
          <cell r="A14" t="str">
            <v xml:space="preserve">   - Шкаф ШРМ-2-2для размещения муфт и запасов ОК 0,4х0,9х0,3</v>
          </cell>
          <cell r="B14" t="str">
            <v>шт</v>
          </cell>
          <cell r="C14">
            <v>2993</v>
          </cell>
        </row>
        <row r="15">
          <cell r="A15" t="str">
            <v xml:space="preserve"> коммутатор сетевой оптический с 48 портами 10/100Base-TX + 2 портами 10/100/1000BASE-T, 2 комбо-портами 10/100/1000BASE-T/SFP </v>
          </cell>
          <cell r="B15" t="str">
            <v>шт</v>
          </cell>
          <cell r="C15">
            <v>13340</v>
          </cell>
        </row>
        <row r="16">
          <cell r="A16" t="str">
            <v xml:space="preserve">
Источник бесперебойного питания C3KS HF 3000VA/2100W</v>
          </cell>
          <cell r="B16" t="str">
            <v>шт</v>
          </cell>
          <cell r="C16">
            <v>27500</v>
          </cell>
        </row>
        <row r="17">
          <cell r="A17" t="str">
            <v>Адаптер проходной sc simplex "exalan +"</v>
          </cell>
          <cell r="B17" t="str">
            <v>шт</v>
          </cell>
          <cell r="C17">
            <v>51</v>
          </cell>
        </row>
        <row r="18">
          <cell r="A18" t="str">
            <v>Блок 8 розеток 250 В/ 16 А, 2К+3,440 мм, крепеж 19" 1U, индик, шнур 1,8 м</v>
          </cell>
          <cell r="B18" t="str">
            <v>шт</v>
          </cell>
          <cell r="C18">
            <v>1150</v>
          </cell>
        </row>
        <row r="19">
          <cell r="A19" t="str">
            <v>блок питания 12 В для FC-1,FC-1G,FC-4</v>
          </cell>
          <cell r="B19" t="str">
            <v>шт</v>
          </cell>
          <cell r="C19">
            <v>1150</v>
          </cell>
        </row>
        <row r="20">
          <cell r="A20" t="str">
            <v>блок питания 12в 10вт</v>
          </cell>
          <cell r="B20" t="str">
            <v>шт</v>
          </cell>
          <cell r="C20">
            <v>1650</v>
          </cell>
        </row>
        <row r="21">
          <cell r="A21" t="str">
            <v>бокс оптический с комплектом панелей 16/24 порта</v>
          </cell>
          <cell r="B21" t="str">
            <v>шт</v>
          </cell>
          <cell r="C21">
            <v>1650</v>
          </cell>
        </row>
        <row r="22">
          <cell r="A22" t="str">
            <v>Ввод кабельный универсальный</v>
          </cell>
          <cell r="B22" t="str">
            <v>шт</v>
          </cell>
          <cell r="C22">
            <v>2875</v>
          </cell>
        </row>
        <row r="23">
          <cell r="A23" t="str">
            <v>Видеосервер Domination IP-16 2U( Поддержка 16 IP камер;возможность установки до 4 HDD до 3 Tb каждый; 2 сетевые платы; 19" корпус 2U</v>
          </cell>
          <cell r="B23" t="str">
            <v>шт</v>
          </cell>
          <cell r="C23">
            <v>54625</v>
          </cell>
        </row>
        <row r="24">
          <cell r="A24" t="str">
            <v>Вставка на 8 sc simplex</v>
          </cell>
          <cell r="B24" t="str">
            <v>шт</v>
          </cell>
          <cell r="C24">
            <v>46</v>
          </cell>
        </row>
        <row r="25">
          <cell r="A25" t="str">
            <v>жёсткий диск для сервера        3 тб</v>
          </cell>
          <cell r="B25" t="str">
            <v>шт</v>
          </cell>
          <cell r="C25">
            <v>8800</v>
          </cell>
        </row>
        <row r="26">
          <cell r="A26" t="str">
            <v xml:space="preserve">инжектор 2х портовый FSE-2Cдля питания 2х термокожухов tfortis T  </v>
          </cell>
          <cell r="B26" t="str">
            <v>шт</v>
          </cell>
          <cell r="C26">
            <v>5500</v>
          </cell>
        </row>
        <row r="27">
          <cell r="A27" t="str">
            <v>Кабель оптический внешний с выносным несущим элементом 8*9/125</v>
          </cell>
          <cell r="B27" t="str">
            <v>м</v>
          </cell>
          <cell r="C27">
            <v>37</v>
          </cell>
        </row>
        <row r="28">
          <cell r="A28" t="str">
            <v>Кабель связи парной скрутки уличный,экран бухта 305м.(сечение жил 4*2*0.5)</v>
          </cell>
          <cell r="B28" t="str">
            <v>шт</v>
          </cell>
          <cell r="C28">
            <v>6375</v>
          </cell>
        </row>
        <row r="29">
          <cell r="A29" t="str">
            <v>Кабель/шнур, монитор+клав.+мышь USB, SPHD15=&gt;HD DB15+USB A-Тип, Male-2xMale, опрессованный, 3 метр., (с поддержкой KVM PS/2) [ATEN]</v>
          </cell>
          <cell r="B29" t="str">
            <v>шт</v>
          </cell>
          <cell r="C29">
            <v>1210</v>
          </cell>
        </row>
        <row r="30">
          <cell r="A30" t="str">
            <v>Камера тип 1 DS-2CD 8253F-EIS (Z)</v>
          </cell>
          <cell r="B30" t="str">
            <v>шт</v>
          </cell>
          <cell r="C30">
            <v>23983</v>
          </cell>
        </row>
        <row r="31">
          <cell r="A31" t="str">
            <v>Камера тип 2 DS-2CD 8253F-EIS (z)</v>
          </cell>
          <cell r="B31" t="str">
            <v>шт</v>
          </cell>
          <cell r="C31">
            <v>23983</v>
          </cell>
        </row>
        <row r="32">
          <cell r="A32" t="str">
            <v>Камера тип 3 ACV-442 ESS</v>
          </cell>
          <cell r="B32" t="str">
            <v>шт</v>
          </cell>
          <cell r="C32">
            <v>3887</v>
          </cell>
        </row>
        <row r="33">
          <cell r="A33" t="str">
            <v>Клавиатура+мышь Microsoft Wired 400 Desktop USB Black Retail (5MH-00016)</v>
          </cell>
          <cell r="B33" t="str">
            <v>шт</v>
          </cell>
          <cell r="C33">
            <v>1100</v>
          </cell>
        </row>
        <row r="34">
          <cell r="A34" t="str">
            <v xml:space="preserve">коммутатор сетевой 2 уровня с 24 портами SFP + 4 комбо-портами 1000Base-T/SFP </v>
          </cell>
          <cell r="B34" t="str">
            <v>шт</v>
          </cell>
          <cell r="C34">
            <v>22080</v>
          </cell>
        </row>
        <row r="35">
          <cell r="A35" t="str">
            <v>Коммутационная панель 19" 1U 8/16/24 порта, с аксессуарами, без вставок, без сплайс-кассеты, (EX ШКОС 1u)</v>
          </cell>
          <cell r="B35" t="str">
            <v>шт</v>
          </cell>
          <cell r="C35">
            <v>990</v>
          </cell>
        </row>
        <row r="36">
          <cell r="A36" t="str">
            <v xml:space="preserve">конектор байонетный </v>
          </cell>
          <cell r="B36" t="str">
            <v>шт</v>
          </cell>
          <cell r="C36">
            <v>110</v>
          </cell>
        </row>
        <row r="37">
          <cell r="A37" t="str">
            <v>Контроллер LSI Logic HBA SAS 9211-8i Kit</v>
          </cell>
          <cell r="B37" t="str">
            <v>шт</v>
          </cell>
          <cell r="C37">
            <v>13200</v>
          </cell>
        </row>
        <row r="38">
          <cell r="A38" t="str">
            <v xml:space="preserve">медиаконвертер </v>
          </cell>
          <cell r="B38" t="str">
            <v>шт</v>
          </cell>
          <cell r="C38">
            <v>4620</v>
          </cell>
        </row>
        <row r="39">
          <cell r="A39" t="str">
            <v>медиаконвертер гигабитный FС-1G</v>
          </cell>
          <cell r="B39" t="str">
            <v>шт</v>
          </cell>
          <cell r="C39">
            <v>4400</v>
          </cell>
        </row>
        <row r="40">
          <cell r="A40" t="str">
            <v>монитор 24" 1920x1200 1000:1 250CDM2,5ms,DVI,HDMI,DP, USB,black</v>
          </cell>
          <cell r="B40" t="str">
            <v>шт</v>
          </cell>
          <cell r="C40">
            <v>11000</v>
          </cell>
        </row>
        <row r="41">
          <cell r="A41" t="str">
            <v>Муфта оптическая тупиковая GJS 0,3/15 ,(болт 48)</v>
          </cell>
          <cell r="B41" t="str">
            <v>шт</v>
          </cell>
          <cell r="C41">
            <v>2645</v>
          </cell>
        </row>
        <row r="42">
          <cell r="A42" t="str">
            <v>Обьектив (пункт 1.7) LV 3080 DIR</v>
          </cell>
          <cell r="B42" t="str">
            <v>шт</v>
          </cell>
          <cell r="C42">
            <v>1024</v>
          </cell>
        </row>
        <row r="43">
          <cell r="A43" t="str">
            <v>Обьектив (пункт 1.8) M 13VM 550</v>
          </cell>
          <cell r="B43" t="str">
            <v>шт</v>
          </cell>
          <cell r="C43">
            <v>6750</v>
          </cell>
        </row>
        <row r="44">
          <cell r="A44" t="str">
            <v>Обьектив (пункт 1.9) LV 3080 DIR</v>
          </cell>
          <cell r="B44" t="str">
            <v>шт</v>
          </cell>
          <cell r="C44">
            <v>1024</v>
          </cell>
        </row>
        <row r="45">
          <cell r="A45" t="str">
            <v>Оптический Модуль GigaLink SFP, WDM, 100/155 Мбит/c, одно волокно SM, SC, Tx:1550/Rx:1310 нм, 14 дБ (до 20 км) (GL-09R)</v>
          </cell>
          <cell r="B45" t="str">
            <v>шт</v>
          </cell>
          <cell r="C45">
            <v>632</v>
          </cell>
        </row>
        <row r="46">
          <cell r="A46" t="str">
            <v>оптический патч корд, sc-sc,9/125, simplex 3m</v>
          </cell>
          <cell r="B46" t="str">
            <v>шт</v>
          </cell>
          <cell r="C46">
            <v>178</v>
          </cell>
        </row>
        <row r="47">
          <cell r="A47" t="str">
            <v>переключатель SWITCh 19</v>
          </cell>
          <cell r="B47" t="str">
            <v>шт</v>
          </cell>
          <cell r="C47">
            <v>33000</v>
          </cell>
        </row>
        <row r="48">
          <cell r="A48" t="str">
            <v>ПО обработки IP камер</v>
          </cell>
          <cell r="B48" t="str">
            <v>шт</v>
          </cell>
          <cell r="C48">
            <v>3059</v>
          </cell>
        </row>
        <row r="49">
          <cell r="A49" t="str">
            <v>Полка перфорированная грузоподъемностью 100кг, глубина 750 мм</v>
          </cell>
          <cell r="B49" t="str">
            <v>шт</v>
          </cell>
          <cell r="C49">
            <v>2380</v>
          </cell>
        </row>
        <row r="50">
          <cell r="A50" t="str">
            <v>разъем RG-45 (8p8s) под витую пару 5E</v>
          </cell>
          <cell r="B50" t="str">
            <v>шт</v>
          </cell>
          <cell r="C50">
            <v>2</v>
          </cell>
        </row>
        <row r="51">
          <cell r="A51" t="str">
            <v xml:space="preserve">сплайс кассета для 12452 пластиковая на 32 волокна с крышкой </v>
          </cell>
          <cell r="B51" t="str">
            <v>шт</v>
          </cell>
          <cell r="C51">
            <v>69</v>
          </cell>
        </row>
        <row r="52">
          <cell r="A52" t="str">
            <v>Термокожух ( пункт 1.10) он нетребуется, т.к камера уже идет в термокожухе</v>
          </cell>
          <cell r="B52" t="str">
            <v>шт</v>
          </cell>
          <cell r="C52">
            <v>0</v>
          </cell>
        </row>
        <row r="53">
          <cell r="A53" t="str">
            <v xml:space="preserve">Термокожух ( пункт 1.11) SVS - 26 </v>
          </cell>
          <cell r="B53" t="str">
            <v>шт</v>
          </cell>
          <cell r="C53">
            <v>5365</v>
          </cell>
        </row>
        <row r="54">
          <cell r="A54" t="str">
            <v>Удаленное рабочее место серверная программное обеспечение</v>
          </cell>
          <cell r="B54" t="str">
            <v>шт</v>
          </cell>
          <cell r="C54">
            <v>7636</v>
          </cell>
        </row>
        <row r="55">
          <cell r="A55" t="str">
            <v>Удлинитель KVM USB, 150 м. по UTP кат. 5, ASIC, с кабелем</v>
          </cell>
          <cell r="B55" t="str">
            <v>шт</v>
          </cell>
          <cell r="C55">
            <v>11000</v>
          </cell>
        </row>
        <row r="56">
          <cell r="A56" t="str">
            <v>Управляемый коммутатор L2+ с 24 SFP-слотами 100BASE-X и 4 SFP-слотами 1000BASE-X из которых 2 совмещены с портами Gigabit Ethernet</v>
          </cell>
          <cell r="B56" t="str">
            <v>шт</v>
          </cell>
          <cell r="C56">
            <v>20700</v>
          </cell>
        </row>
        <row r="57">
          <cell r="A57" t="str">
            <v xml:space="preserve">Устроиство грозозащиты для локально вычислительной сети SP006p </v>
          </cell>
          <cell r="B57" t="str">
            <v>шт</v>
          </cell>
          <cell r="C57">
            <v>2049</v>
          </cell>
        </row>
        <row r="58">
          <cell r="A58" t="str">
            <v>Фото реле ФР 602 серый, макс. нагр. 4400 Вт, IP 44</v>
          </cell>
          <cell r="B58" t="str">
            <v>шт</v>
          </cell>
          <cell r="C58">
            <v>193</v>
          </cell>
        </row>
        <row r="59">
          <cell r="A59" t="str">
            <v>шкаф телекомуникационный 33 U (600*1000) дверь перфорированная</v>
          </cell>
          <cell r="B59" t="str">
            <v>шт</v>
          </cell>
          <cell r="C59">
            <v>27140</v>
          </cell>
        </row>
        <row r="60">
          <cell r="A60" t="str">
            <v>шлейф sas sff-8087,06m</v>
          </cell>
          <cell r="B60" t="str">
            <v>шт</v>
          </cell>
          <cell r="C60">
            <v>2200</v>
          </cell>
        </row>
        <row r="61">
          <cell r="A61" t="str">
            <v>Шнур 2 пигтейла sc-sc,9/125 upc,0.9 mm, 2*1, upc exalan</v>
          </cell>
          <cell r="B61" t="str">
            <v>шт</v>
          </cell>
          <cell r="C61">
            <v>143</v>
          </cell>
        </row>
        <row r="62">
          <cell r="A62" t="str">
            <v>Ядро системы "Интеллект" (guardant) ПО</v>
          </cell>
          <cell r="B62" t="str">
            <v>шт</v>
          </cell>
          <cell r="C62">
            <v>12236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  <cell r="B22" t="str">
            <v>%</v>
          </cell>
          <cell r="C22">
            <v>8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  <cell r="B24" t="str">
            <v>м2</v>
          </cell>
          <cell r="C24">
            <v>730</v>
          </cell>
        </row>
        <row r="25">
          <cell r="A25" t="str">
            <v>Проектные работы 2катег.</v>
          </cell>
          <cell r="B25" t="str">
            <v>м2</v>
          </cell>
          <cell r="C25">
            <v>950</v>
          </cell>
        </row>
        <row r="26">
          <cell r="A26" t="str">
            <v>Проектные работы 3катег.</v>
          </cell>
          <cell r="B26" t="str">
            <v>м2</v>
          </cell>
          <cell r="C26">
            <v>1200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  <cell r="B29" t="str">
            <v>рейс</v>
          </cell>
          <cell r="C29">
            <v>350000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"/>
  <sheetViews>
    <sheetView tabSelected="1" zoomScaleNormal="100" workbookViewId="0">
      <pane ySplit="8" topLeftCell="A91" activePane="bottomLeft" state="frozen"/>
      <selection pane="bottomLeft" activeCell="B100" sqref="B100"/>
    </sheetView>
  </sheetViews>
  <sheetFormatPr defaultRowHeight="1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>
      <c r="A1" s="65" t="str">
        <f>C2</f>
        <v>МЗ ФАП</v>
      </c>
      <c r="B1" s="65"/>
      <c r="C1" s="66" t="str">
        <f>C3</f>
        <v>ЭССО</v>
      </c>
      <c r="D1" s="66"/>
      <c r="E1" s="66"/>
      <c r="F1" s="66"/>
    </row>
    <row r="2" spans="1:6">
      <c r="A2" s="40">
        <v>1</v>
      </c>
      <c r="B2" s="41" t="s">
        <v>2</v>
      </c>
      <c r="C2" s="67" t="s">
        <v>66</v>
      </c>
      <c r="D2" s="67"/>
      <c r="E2" s="67"/>
      <c r="F2" s="67"/>
    </row>
    <row r="3" spans="1:6">
      <c r="A3" s="40">
        <v>2</v>
      </c>
      <c r="B3" s="41" t="s">
        <v>0</v>
      </c>
      <c r="C3" s="67" t="s">
        <v>67</v>
      </c>
      <c r="D3" s="67"/>
      <c r="E3" s="67"/>
      <c r="F3" s="67"/>
    </row>
    <row r="4" spans="1:6" ht="14.25" customHeight="1">
      <c r="A4" s="40">
        <v>3</v>
      </c>
      <c r="B4" s="41" t="s">
        <v>1</v>
      </c>
      <c r="C4" s="69" t="s">
        <v>68</v>
      </c>
      <c r="D4" s="70"/>
      <c r="E4" s="70"/>
      <c r="F4" s="71"/>
    </row>
    <row r="5" spans="1:6" ht="15.75" customHeight="1">
      <c r="A5" s="40">
        <v>4</v>
      </c>
      <c r="B5" s="41" t="s">
        <v>35</v>
      </c>
      <c r="C5" s="69" t="s">
        <v>64</v>
      </c>
      <c r="D5" s="70"/>
      <c r="E5" s="70"/>
      <c r="F5" s="71"/>
    </row>
    <row r="6" spans="1:6" ht="17.25" customHeight="1">
      <c r="A6" s="40">
        <v>5</v>
      </c>
      <c r="B6" s="41" t="s">
        <v>37</v>
      </c>
      <c r="C6" s="67" t="s">
        <v>100</v>
      </c>
      <c r="D6" s="67"/>
      <c r="E6" s="44" t="s">
        <v>36</v>
      </c>
      <c r="F6" s="61">
        <f>12.231*9</f>
        <v>110.07899999999999</v>
      </c>
    </row>
    <row r="7" spans="1:6">
      <c r="A7" s="40">
        <v>6</v>
      </c>
      <c r="B7" s="41" t="s">
        <v>3</v>
      </c>
      <c r="C7" s="69" t="s">
        <v>104</v>
      </c>
      <c r="D7" s="70"/>
      <c r="E7" s="70"/>
      <c r="F7" s="71"/>
    </row>
    <row r="8" spans="1:6" ht="37.5">
      <c r="A8" s="40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>
      <c r="A9" s="40">
        <v>8</v>
      </c>
      <c r="B9" s="5" t="s">
        <v>29</v>
      </c>
      <c r="C9" s="4"/>
      <c r="D9" s="4"/>
      <c r="E9" s="4"/>
      <c r="F9" s="4"/>
    </row>
    <row r="10" spans="1:6">
      <c r="A10" s="40">
        <v>9</v>
      </c>
      <c r="B10" s="6" t="s">
        <v>24</v>
      </c>
      <c r="C10" s="13" t="s">
        <v>25</v>
      </c>
      <c r="D10" s="13">
        <v>0</v>
      </c>
      <c r="E10" s="10">
        <v>170</v>
      </c>
      <c r="F10" s="9">
        <f>D10*E10</f>
        <v>0</v>
      </c>
    </row>
    <row r="11" spans="1:6">
      <c r="A11" s="40">
        <v>10</v>
      </c>
      <c r="B11" s="6" t="s">
        <v>38</v>
      </c>
      <c r="C11" s="13" t="s">
        <v>13</v>
      </c>
      <c r="D11" s="13">
        <v>0</v>
      </c>
      <c r="E11" s="10">
        <v>5500</v>
      </c>
      <c r="F11" s="9">
        <f t="shared" ref="F11:F15" si="0">D11*E11</f>
        <v>0</v>
      </c>
    </row>
    <row r="12" spans="1:6">
      <c r="A12" s="40">
        <v>11</v>
      </c>
      <c r="B12" s="6" t="s">
        <v>26</v>
      </c>
      <c r="C12" s="13" t="s">
        <v>17</v>
      </c>
      <c r="D12" s="13">
        <f>0.5*D11</f>
        <v>0</v>
      </c>
      <c r="E12" s="10">
        <v>2000</v>
      </c>
      <c r="F12" s="9">
        <f t="shared" si="0"/>
        <v>0</v>
      </c>
    </row>
    <row r="13" spans="1:6">
      <c r="A13" s="40">
        <v>12</v>
      </c>
      <c r="B13" s="6" t="s">
        <v>27</v>
      </c>
      <c r="C13" s="13" t="s">
        <v>13</v>
      </c>
      <c r="D13" s="13">
        <f>D11</f>
        <v>0</v>
      </c>
      <c r="E13" s="10">
        <v>250</v>
      </c>
      <c r="F13" s="9">
        <f t="shared" si="0"/>
        <v>0</v>
      </c>
    </row>
    <row r="14" spans="1:6">
      <c r="A14" s="40">
        <v>13</v>
      </c>
      <c r="B14" s="6" t="s">
        <v>39</v>
      </c>
      <c r="C14" s="13" t="s">
        <v>11</v>
      </c>
      <c r="D14" s="53">
        <v>0</v>
      </c>
      <c r="E14" s="10">
        <v>7000</v>
      </c>
      <c r="F14" s="54">
        <f t="shared" si="0"/>
        <v>0</v>
      </c>
    </row>
    <row r="15" spans="1:6">
      <c r="A15" s="40">
        <v>14</v>
      </c>
      <c r="B15" s="6" t="s">
        <v>40</v>
      </c>
      <c r="C15" s="13" t="str">
        <f>VLOOKUP(B15,[1]Фундаменты!Прайс,2,FALSE)</f>
        <v>тн</v>
      </c>
      <c r="D15" s="53">
        <f>D14</f>
        <v>0</v>
      </c>
      <c r="E15" s="10">
        <v>33500</v>
      </c>
      <c r="F15" s="54">
        <f t="shared" si="0"/>
        <v>0</v>
      </c>
    </row>
    <row r="16" spans="1:6">
      <c r="A16" s="40">
        <v>15</v>
      </c>
      <c r="B16" s="7" t="s">
        <v>4</v>
      </c>
      <c r="C16" s="14"/>
      <c r="D16" s="14"/>
      <c r="E16" s="11"/>
      <c r="F16" s="15">
        <f>SUM(F10:F15)</f>
        <v>0</v>
      </c>
    </row>
    <row r="17" spans="1:6" ht="18.75">
      <c r="A17" s="40">
        <v>16</v>
      </c>
      <c r="B17" s="5" t="s">
        <v>19</v>
      </c>
      <c r="C17" s="4"/>
      <c r="D17" s="4"/>
      <c r="E17" s="4"/>
      <c r="F17" s="4"/>
    </row>
    <row r="18" spans="1:6">
      <c r="A18" s="40">
        <v>17</v>
      </c>
      <c r="B18" s="6" t="s">
        <v>41</v>
      </c>
      <c r="C18" s="13" t="s">
        <v>43</v>
      </c>
      <c r="D18" s="13">
        <v>0</v>
      </c>
      <c r="E18" s="10">
        <v>2000</v>
      </c>
      <c r="F18" s="9">
        <f>D18*E18</f>
        <v>0</v>
      </c>
    </row>
    <row r="19" spans="1:6">
      <c r="A19" s="40">
        <v>18</v>
      </c>
      <c r="B19" s="6" t="s">
        <v>42</v>
      </c>
      <c r="C19" s="13" t="s">
        <v>43</v>
      </c>
      <c r="D19" s="13">
        <v>0</v>
      </c>
      <c r="E19" s="10">
        <v>2000</v>
      </c>
      <c r="F19" s="9">
        <f>D19*E19</f>
        <v>0</v>
      </c>
    </row>
    <row r="20" spans="1:6">
      <c r="A20" s="40">
        <v>20</v>
      </c>
      <c r="B20" s="6" t="s">
        <v>69</v>
      </c>
      <c r="C20" s="13" t="s">
        <v>43</v>
      </c>
      <c r="D20" s="13">
        <v>2</v>
      </c>
      <c r="E20" s="63">
        <f>9*2.442*232610/27</f>
        <v>189344.54</v>
      </c>
      <c r="F20" s="9">
        <f t="shared" ref="F20:F21" si="1">D20*E20</f>
        <v>378689.08</v>
      </c>
    </row>
    <row r="21" spans="1:6">
      <c r="A21" s="40">
        <v>21</v>
      </c>
      <c r="B21" s="6" t="s">
        <v>70</v>
      </c>
      <c r="C21" s="13" t="s">
        <v>43</v>
      </c>
      <c r="D21" s="13">
        <v>3</v>
      </c>
      <c r="E21" s="63">
        <f>9*2.442*198248/27</f>
        <v>161373.87200000003</v>
      </c>
      <c r="F21" s="9">
        <f t="shared" si="1"/>
        <v>484121.6160000001</v>
      </c>
    </row>
    <row r="22" spans="1:6">
      <c r="A22" s="40">
        <v>23</v>
      </c>
      <c r="B22" s="7" t="s">
        <v>4</v>
      </c>
      <c r="C22" s="14"/>
      <c r="D22" s="14"/>
      <c r="E22" s="11"/>
      <c r="F22" s="15">
        <f>SUM(F18:F21)</f>
        <v>862810.69600000011</v>
      </c>
    </row>
    <row r="23" spans="1:6" ht="15.75">
      <c r="A23" s="40">
        <v>24</v>
      </c>
      <c r="B23" s="5" t="s">
        <v>20</v>
      </c>
      <c r="C23" s="12"/>
      <c r="D23" s="12"/>
      <c r="E23" s="8"/>
      <c r="F23" s="9"/>
    </row>
    <row r="24" spans="1:6">
      <c r="A24" s="40">
        <v>29</v>
      </c>
      <c r="B24" s="6" t="s">
        <v>45</v>
      </c>
      <c r="C24" s="13" t="str">
        <f>VLOOKUP(B24,[3]Кровля!Прайс,2,FALSE)</f>
        <v>тн</v>
      </c>
      <c r="D24" s="55">
        <v>0</v>
      </c>
      <c r="E24" s="10">
        <v>7000</v>
      </c>
      <c r="F24" s="9">
        <f>D24*E24</f>
        <v>0</v>
      </c>
    </row>
    <row r="25" spans="1:6">
      <c r="A25" s="40">
        <v>25</v>
      </c>
      <c r="B25" s="6" t="s">
        <v>44</v>
      </c>
      <c r="C25" s="13" t="str">
        <f>VLOOKUP(B25,[3]Кровля!Прайс,2,FALSE)</f>
        <v>тн</v>
      </c>
      <c r="D25" s="55">
        <f>0.015*F6</f>
        <v>1.6511849999999999</v>
      </c>
      <c r="E25" s="10">
        <v>42000</v>
      </c>
      <c r="F25" s="9">
        <f>D25*E25</f>
        <v>69349.76999999999</v>
      </c>
    </row>
    <row r="26" spans="1:6">
      <c r="A26" s="40">
        <v>26</v>
      </c>
      <c r="B26" s="6" t="s">
        <v>71</v>
      </c>
      <c r="C26" s="13" t="s">
        <v>12</v>
      </c>
      <c r="D26" s="13">
        <v>0</v>
      </c>
      <c r="E26" s="10">
        <v>180</v>
      </c>
      <c r="F26" s="9">
        <f>D26*E26</f>
        <v>0</v>
      </c>
    </row>
    <row r="27" spans="1:6">
      <c r="A27" s="40">
        <v>27</v>
      </c>
      <c r="B27" s="6" t="s">
        <v>72</v>
      </c>
      <c r="C27" s="13" t="s">
        <v>12</v>
      </c>
      <c r="D27" s="55">
        <f>1.1*F6</f>
        <v>121.0869</v>
      </c>
      <c r="E27" s="10">
        <v>330</v>
      </c>
      <c r="F27" s="9">
        <f t="shared" ref="F27:F29" si="2">D27*E27</f>
        <v>39958.677000000003</v>
      </c>
    </row>
    <row r="28" spans="1:6">
      <c r="A28" s="40">
        <v>28</v>
      </c>
      <c r="B28" s="6" t="s">
        <v>73</v>
      </c>
      <c r="C28" s="13" t="s">
        <v>12</v>
      </c>
      <c r="D28" s="55">
        <v>0</v>
      </c>
      <c r="E28" s="10">
        <v>80</v>
      </c>
      <c r="F28" s="9">
        <f t="shared" si="2"/>
        <v>0</v>
      </c>
    </row>
    <row r="29" spans="1:6">
      <c r="A29" s="40"/>
      <c r="B29" s="6" t="s">
        <v>74</v>
      </c>
      <c r="C29" s="13" t="s">
        <v>93</v>
      </c>
      <c r="D29" s="55">
        <f>D27*0.025/2</f>
        <v>1.5135862500000001</v>
      </c>
      <c r="E29" s="10">
        <v>9200</v>
      </c>
      <c r="F29" s="9">
        <f t="shared" si="2"/>
        <v>13924.9935</v>
      </c>
    </row>
    <row r="30" spans="1:6">
      <c r="A30" s="40">
        <v>31</v>
      </c>
      <c r="B30" s="6" t="s">
        <v>46</v>
      </c>
      <c r="C30" s="13" t="str">
        <f>VLOOKUP(B30,[3]Кровля!Прайс,2,FALSE)</f>
        <v>м</v>
      </c>
      <c r="D30" s="55">
        <v>0</v>
      </c>
      <c r="E30" s="10">
        <f>E28*40%</f>
        <v>32</v>
      </c>
      <c r="F30" s="9">
        <f t="shared" ref="F30:F37" si="3">D30*E30</f>
        <v>0</v>
      </c>
    </row>
    <row r="31" spans="1:6">
      <c r="A31" s="40">
        <v>32</v>
      </c>
      <c r="B31" s="6" t="s">
        <v>47</v>
      </c>
      <c r="C31" s="13" t="str">
        <f>VLOOKUP(B31,[1]Кровля!Прайс,2,FALSE)</f>
        <v>шт</v>
      </c>
      <c r="D31" s="55">
        <v>0</v>
      </c>
      <c r="E31" s="10">
        <v>250</v>
      </c>
      <c r="F31" s="9">
        <f t="shared" si="3"/>
        <v>0</v>
      </c>
    </row>
    <row r="32" spans="1:6">
      <c r="A32" s="40">
        <v>33</v>
      </c>
      <c r="B32" s="6" t="s">
        <v>48</v>
      </c>
      <c r="C32" s="13" t="str">
        <f>VLOOKUP(B32,[1]Кровля!Прайс,2,FALSE)</f>
        <v>шт</v>
      </c>
      <c r="D32" s="55">
        <v>4</v>
      </c>
      <c r="E32" s="10">
        <v>360</v>
      </c>
      <c r="F32" s="9">
        <f t="shared" si="3"/>
        <v>1440</v>
      </c>
    </row>
    <row r="33" spans="1:6">
      <c r="A33" s="40">
        <v>34</v>
      </c>
      <c r="B33" s="6" t="s">
        <v>49</v>
      </c>
      <c r="C33" s="13" t="str">
        <f>VLOOKUP(B33,[1]Кровля!Прайс,2,FALSE)</f>
        <v>м</v>
      </c>
      <c r="D33" s="55">
        <v>0</v>
      </c>
      <c r="E33" s="10">
        <v>120</v>
      </c>
      <c r="F33" s="9">
        <f t="shared" si="3"/>
        <v>0</v>
      </c>
    </row>
    <row r="34" spans="1:6">
      <c r="A34" s="40">
        <v>35</v>
      </c>
      <c r="B34" s="6" t="s">
        <v>50</v>
      </c>
      <c r="C34" s="13" t="s">
        <v>12</v>
      </c>
      <c r="D34" s="55">
        <f>12.231*0.4</f>
        <v>4.8924000000000003</v>
      </c>
      <c r="E34" s="10">
        <v>480</v>
      </c>
      <c r="F34" s="9">
        <f t="shared" si="3"/>
        <v>2348.3520000000003</v>
      </c>
    </row>
    <row r="35" spans="1:6">
      <c r="A35" s="40">
        <v>36</v>
      </c>
      <c r="B35" s="6" t="s">
        <v>51</v>
      </c>
      <c r="C35" s="13" t="str">
        <f>VLOOKUP(B35,[1]Кровля!Прайс,2,FALSE)</f>
        <v>м2</v>
      </c>
      <c r="D35" s="55">
        <v>0</v>
      </c>
      <c r="E35" s="10">
        <v>180</v>
      </c>
      <c r="F35" s="9">
        <f t="shared" si="3"/>
        <v>0</v>
      </c>
    </row>
    <row r="36" spans="1:6">
      <c r="A36" s="40">
        <v>37</v>
      </c>
      <c r="B36" s="6" t="s">
        <v>52</v>
      </c>
      <c r="C36" s="13" t="str">
        <f>VLOOKUP(B36,[1]Кровля!Прайс,2,FALSE)</f>
        <v>м2</v>
      </c>
      <c r="D36" s="55">
        <v>20</v>
      </c>
      <c r="E36" s="10">
        <v>353</v>
      </c>
      <c r="F36" s="9">
        <f t="shared" si="3"/>
        <v>7060</v>
      </c>
    </row>
    <row r="37" spans="1:6">
      <c r="A37" s="40">
        <v>38</v>
      </c>
      <c r="B37" s="6" t="s">
        <v>53</v>
      </c>
      <c r="C37" s="13" t="str">
        <f>VLOOKUP(B37,[1]Кровля!Прайс,2,FALSE)</f>
        <v>компл</v>
      </c>
      <c r="D37" s="55">
        <f>D26</f>
        <v>0</v>
      </c>
      <c r="E37" s="10">
        <v>190</v>
      </c>
      <c r="F37" s="9">
        <f t="shared" si="3"/>
        <v>0</v>
      </c>
    </row>
    <row r="38" spans="1:6">
      <c r="A38" s="40">
        <v>39</v>
      </c>
      <c r="B38" s="7" t="s">
        <v>4</v>
      </c>
      <c r="C38" s="14"/>
      <c r="D38" s="14"/>
      <c r="E38" s="11"/>
      <c r="F38" s="15">
        <f>SUM(F24:F37)</f>
        <v>134081.79249999998</v>
      </c>
    </row>
    <row r="39" spans="1:6" ht="21.75" customHeight="1">
      <c r="A39" s="40">
        <v>40</v>
      </c>
      <c r="B39" s="5" t="s">
        <v>31</v>
      </c>
      <c r="C39" s="12"/>
      <c r="D39" s="12"/>
      <c r="E39" s="8"/>
      <c r="F39" s="9"/>
    </row>
    <row r="40" spans="1:6">
      <c r="A40" s="40">
        <v>41</v>
      </c>
      <c r="B40" s="6" t="s">
        <v>105</v>
      </c>
      <c r="C40" s="13" t="s">
        <v>13</v>
      </c>
      <c r="D40" s="13">
        <v>11</v>
      </c>
      <c r="E40" s="10">
        <v>5000</v>
      </c>
      <c r="F40" s="9">
        <f t="shared" ref="F40:F44" si="4">D40*E40</f>
        <v>55000</v>
      </c>
    </row>
    <row r="41" spans="1:6">
      <c r="A41" s="40">
        <v>43</v>
      </c>
      <c r="B41" s="6" t="s">
        <v>75</v>
      </c>
      <c r="C41" s="13" t="s">
        <v>13</v>
      </c>
      <c r="D41" s="13">
        <v>1</v>
      </c>
      <c r="E41" s="10">
        <v>18000</v>
      </c>
      <c r="F41" s="9">
        <f t="shared" si="4"/>
        <v>18000</v>
      </c>
    </row>
    <row r="42" spans="1:6">
      <c r="A42" s="40">
        <v>45</v>
      </c>
      <c r="B42" s="6" t="s">
        <v>23</v>
      </c>
      <c r="C42" s="13" t="s">
        <v>13</v>
      </c>
      <c r="D42" s="13">
        <v>0</v>
      </c>
      <c r="E42" s="10">
        <v>1000</v>
      </c>
      <c r="F42" s="9">
        <f t="shared" si="4"/>
        <v>0</v>
      </c>
    </row>
    <row r="43" spans="1:6">
      <c r="A43" s="40"/>
      <c r="B43" s="6" t="s">
        <v>76</v>
      </c>
      <c r="C43" s="13" t="s">
        <v>12</v>
      </c>
      <c r="D43" s="13">
        <v>11.52</v>
      </c>
      <c r="E43" s="10">
        <v>1900</v>
      </c>
      <c r="F43" s="9">
        <f t="shared" si="4"/>
        <v>21888</v>
      </c>
    </row>
    <row r="44" spans="1:6">
      <c r="A44" s="40"/>
      <c r="B44" s="6" t="s">
        <v>77</v>
      </c>
      <c r="C44" s="13" t="s">
        <v>13</v>
      </c>
      <c r="D44" s="13">
        <v>0</v>
      </c>
      <c r="E44" s="10">
        <v>450</v>
      </c>
      <c r="F44" s="9">
        <f t="shared" si="4"/>
        <v>0</v>
      </c>
    </row>
    <row r="45" spans="1:6">
      <c r="A45" s="40">
        <v>46</v>
      </c>
      <c r="B45" s="7" t="s">
        <v>4</v>
      </c>
      <c r="C45" s="14"/>
      <c r="D45" s="14"/>
      <c r="E45" s="11"/>
      <c r="F45" s="15">
        <f>SUM(F40:F44)</f>
        <v>94888</v>
      </c>
    </row>
    <row r="46" spans="1:6" ht="15.75">
      <c r="A46" s="40">
        <v>47</v>
      </c>
      <c r="B46" s="5" t="s">
        <v>21</v>
      </c>
      <c r="C46" s="12"/>
      <c r="D46" s="12"/>
      <c r="E46" s="8"/>
      <c r="F46" s="9"/>
    </row>
    <row r="47" spans="1:6">
      <c r="A47" s="40">
        <v>49</v>
      </c>
      <c r="B47" s="6" t="s">
        <v>16</v>
      </c>
      <c r="C47" s="13" t="s">
        <v>12</v>
      </c>
      <c r="D47" s="13">
        <v>0</v>
      </c>
      <c r="E47" s="10">
        <v>120</v>
      </c>
      <c r="F47" s="9">
        <f>D47*E47</f>
        <v>0</v>
      </c>
    </row>
    <row r="48" spans="1:6">
      <c r="A48" s="40">
        <v>48</v>
      </c>
      <c r="B48" s="6" t="s">
        <v>15</v>
      </c>
      <c r="C48" s="13" t="s">
        <v>12</v>
      </c>
      <c r="D48" s="13">
        <f>50*2.7</f>
        <v>135</v>
      </c>
      <c r="E48" s="10">
        <v>1100</v>
      </c>
      <c r="F48" s="9">
        <f>D48*E48</f>
        <v>148500</v>
      </c>
    </row>
    <row r="49" spans="1:6">
      <c r="A49" s="40">
        <v>50</v>
      </c>
      <c r="B49" s="7" t="s">
        <v>4</v>
      </c>
      <c r="C49" s="14"/>
      <c r="D49" s="14"/>
      <c r="E49" s="11"/>
      <c r="F49" s="15">
        <f>SUM(F47:F48)</f>
        <v>148500</v>
      </c>
    </row>
    <row r="50" spans="1:6" ht="15.75">
      <c r="A50" s="40">
        <v>51</v>
      </c>
      <c r="B50" s="5" t="s">
        <v>33</v>
      </c>
      <c r="C50" s="12"/>
      <c r="D50" s="12"/>
      <c r="E50" s="8"/>
      <c r="F50" s="9"/>
    </row>
    <row r="51" spans="1:6">
      <c r="A51" s="40">
        <v>52</v>
      </c>
      <c r="B51" s="19" t="s">
        <v>30</v>
      </c>
      <c r="C51" s="13"/>
      <c r="D51" s="13"/>
      <c r="E51" s="10"/>
      <c r="F51" s="9"/>
    </row>
    <row r="52" spans="1:6">
      <c r="A52" s="40">
        <v>53</v>
      </c>
      <c r="B52" s="6" t="s">
        <v>78</v>
      </c>
      <c r="C52" s="13" t="str">
        <f>VLOOKUP(B52,[2]Отделка!Прайс,2,FALSE)</f>
        <v>м2</v>
      </c>
      <c r="D52" s="53">
        <v>0</v>
      </c>
      <c r="E52" s="10">
        <v>450</v>
      </c>
      <c r="F52" s="9">
        <f t="shared" ref="F52:F65" si="5">D52*E52</f>
        <v>0</v>
      </c>
    </row>
    <row r="53" spans="1:6">
      <c r="A53" s="40">
        <v>54</v>
      </c>
      <c r="B53" s="6" t="s">
        <v>79</v>
      </c>
      <c r="C53" s="13" t="s">
        <v>12</v>
      </c>
      <c r="D53" s="53">
        <f>70*2.7+1.6*7</f>
        <v>200.2</v>
      </c>
      <c r="E53" s="10">
        <v>414</v>
      </c>
      <c r="F53" s="9">
        <f t="shared" si="5"/>
        <v>82882.799999999988</v>
      </c>
    </row>
    <row r="54" spans="1:6">
      <c r="A54" s="40"/>
      <c r="B54" s="6" t="s">
        <v>55</v>
      </c>
      <c r="C54" s="13" t="s">
        <v>86</v>
      </c>
      <c r="D54" s="53">
        <f>D53*5</f>
        <v>1001</v>
      </c>
      <c r="E54" s="10">
        <v>11.7</v>
      </c>
      <c r="F54" s="9">
        <f t="shared" si="5"/>
        <v>11711.699999999999</v>
      </c>
    </row>
    <row r="55" spans="1:6">
      <c r="A55" s="40"/>
      <c r="B55" s="6" t="s">
        <v>83</v>
      </c>
      <c r="C55" s="13" t="s">
        <v>12</v>
      </c>
      <c r="D55" s="55">
        <v>0</v>
      </c>
      <c r="E55" s="10">
        <v>150</v>
      </c>
      <c r="F55" s="9">
        <f>D55*E55</f>
        <v>0</v>
      </c>
    </row>
    <row r="56" spans="1:6">
      <c r="A56" s="40"/>
      <c r="B56" s="6" t="s">
        <v>80</v>
      </c>
      <c r="C56" s="13" t="s">
        <v>12</v>
      </c>
      <c r="D56" s="55">
        <f>D48*2+12*2.7*2+8.8*2.7*2-D53-D57</f>
        <v>144.12000000000006</v>
      </c>
      <c r="E56" s="10">
        <v>130</v>
      </c>
      <c r="F56" s="9">
        <f>D56*E56</f>
        <v>18735.600000000009</v>
      </c>
    </row>
    <row r="57" spans="1:6">
      <c r="A57" s="40"/>
      <c r="B57" s="6" t="s">
        <v>81</v>
      </c>
      <c r="C57" s="13" t="s">
        <v>12</v>
      </c>
      <c r="D57" s="13">
        <v>38</v>
      </c>
      <c r="E57" s="10">
        <v>235</v>
      </c>
      <c r="F57" s="9">
        <f t="shared" si="5"/>
        <v>8930</v>
      </c>
    </row>
    <row r="58" spans="1:6" ht="30">
      <c r="A58" s="40"/>
      <c r="B58" s="6" t="s">
        <v>82</v>
      </c>
      <c r="C58" s="13" t="s">
        <v>12</v>
      </c>
      <c r="D58" s="55">
        <f>D57</f>
        <v>38</v>
      </c>
      <c r="E58" s="10">
        <v>75</v>
      </c>
      <c r="F58" s="9">
        <f t="shared" si="5"/>
        <v>2850</v>
      </c>
    </row>
    <row r="59" spans="1:6">
      <c r="A59" s="40"/>
      <c r="B59" s="6" t="s">
        <v>84</v>
      </c>
      <c r="C59" s="13" t="s">
        <v>12</v>
      </c>
      <c r="D59" s="55">
        <v>0</v>
      </c>
      <c r="E59" s="10">
        <v>80</v>
      </c>
      <c r="F59" s="9">
        <f t="shared" si="5"/>
        <v>0</v>
      </c>
    </row>
    <row r="60" spans="1:6">
      <c r="A60" s="40"/>
      <c r="B60" s="6" t="s">
        <v>87</v>
      </c>
      <c r="C60" s="13" t="s">
        <v>86</v>
      </c>
      <c r="D60" s="55">
        <f>0.12*D56</f>
        <v>17.294400000000007</v>
      </c>
      <c r="E60" s="10">
        <v>115</v>
      </c>
      <c r="F60" s="9">
        <f t="shared" si="5"/>
        <v>1988.8560000000007</v>
      </c>
    </row>
    <row r="61" spans="1:6">
      <c r="A61" s="40">
        <v>56</v>
      </c>
      <c r="B61" s="19" t="s">
        <v>28</v>
      </c>
      <c r="C61" s="13"/>
      <c r="D61" s="13"/>
      <c r="E61" s="10"/>
      <c r="F61" s="9">
        <f t="shared" si="5"/>
        <v>0</v>
      </c>
    </row>
    <row r="62" spans="1:6">
      <c r="A62" s="40">
        <v>57</v>
      </c>
      <c r="B62" s="6" t="s">
        <v>94</v>
      </c>
      <c r="C62" s="13" t="s">
        <v>93</v>
      </c>
      <c r="D62" s="55">
        <v>0</v>
      </c>
      <c r="E62" s="10">
        <v>1800</v>
      </c>
      <c r="F62" s="54">
        <f t="shared" si="5"/>
        <v>0</v>
      </c>
    </row>
    <row r="63" spans="1:6">
      <c r="A63" s="40">
        <v>58</v>
      </c>
      <c r="B63" s="6" t="s">
        <v>92</v>
      </c>
      <c r="C63" s="13" t="s">
        <v>93</v>
      </c>
      <c r="D63" s="55">
        <f>D67*0.05*1.02</f>
        <v>5.1183600000000009</v>
      </c>
      <c r="E63" s="10">
        <v>4200</v>
      </c>
      <c r="F63" s="54">
        <f t="shared" si="5"/>
        <v>21497.112000000005</v>
      </c>
    </row>
    <row r="64" spans="1:6">
      <c r="A64" s="40"/>
      <c r="B64" s="6" t="s">
        <v>95</v>
      </c>
      <c r="C64" s="13" t="str">
        <f>VLOOKUP(B64,'[2]Полы, перекрытия'!Прайс,2,FALSE)</f>
        <v>т</v>
      </c>
      <c r="D64" s="55">
        <v>0</v>
      </c>
      <c r="E64" s="10">
        <v>9000</v>
      </c>
      <c r="F64" s="54">
        <f t="shared" si="5"/>
        <v>0</v>
      </c>
    </row>
    <row r="65" spans="1:6">
      <c r="A65" s="40"/>
      <c r="B65" s="6" t="s">
        <v>96</v>
      </c>
      <c r="C65" s="13" t="s">
        <v>11</v>
      </c>
      <c r="D65" s="55">
        <f>D67*6.4/1000</f>
        <v>0.6423040000000001</v>
      </c>
      <c r="E65" s="10">
        <v>28000</v>
      </c>
      <c r="F65" s="54">
        <f t="shared" si="5"/>
        <v>17984.512000000002</v>
      </c>
    </row>
    <row r="66" spans="1:6">
      <c r="A66" s="40">
        <v>61</v>
      </c>
      <c r="B66" s="6" t="s">
        <v>54</v>
      </c>
      <c r="C66" s="13" t="str">
        <f>VLOOKUP(B66,[1]Отделка!Прайс,2,FALSE)</f>
        <v>м2</v>
      </c>
      <c r="D66" s="13">
        <v>0</v>
      </c>
      <c r="E66" s="10">
        <v>450</v>
      </c>
      <c r="F66" s="9">
        <f t="shared" ref="F66:F68" si="6">D66*E66</f>
        <v>0</v>
      </c>
    </row>
    <row r="67" spans="1:6">
      <c r="A67" s="40">
        <v>62</v>
      </c>
      <c r="B67" s="6" t="s">
        <v>88</v>
      </c>
      <c r="C67" s="13" t="s">
        <v>12</v>
      </c>
      <c r="D67" s="13">
        <f>12+6+12+12.5+11+3.5+4+4+4.3+6+4+21.06</f>
        <v>100.36</v>
      </c>
      <c r="E67" s="10">
        <v>599</v>
      </c>
      <c r="F67" s="9">
        <f t="shared" si="6"/>
        <v>60115.64</v>
      </c>
    </row>
    <row r="68" spans="1:6">
      <c r="A68" s="40">
        <v>63</v>
      </c>
      <c r="B68" s="6" t="s">
        <v>55</v>
      </c>
      <c r="C68" s="13" t="str">
        <f>VLOOKUP(B68,[1]Отделка!Прайс,2,FALSE)</f>
        <v>кг</v>
      </c>
      <c r="D68" s="13">
        <f>D67*5</f>
        <v>501.8</v>
      </c>
      <c r="E68" s="10">
        <v>11.7</v>
      </c>
      <c r="F68" s="9">
        <f t="shared" si="6"/>
        <v>5871.0599999999995</v>
      </c>
    </row>
    <row r="69" spans="1:6" ht="15.75">
      <c r="A69" s="40">
        <v>64</v>
      </c>
      <c r="B69" s="19" t="s">
        <v>32</v>
      </c>
      <c r="C69" s="12"/>
      <c r="D69" s="12"/>
      <c r="E69" s="8"/>
      <c r="F69" s="9"/>
    </row>
    <row r="70" spans="1:6" ht="18" customHeight="1">
      <c r="A70" s="40">
        <v>65</v>
      </c>
      <c r="B70" s="6" t="s">
        <v>56</v>
      </c>
      <c r="C70" s="13" t="str">
        <f>VLOOKUP(B70,[1]Отделка!Прайс,2,FALSE)</f>
        <v>м2</v>
      </c>
      <c r="D70" s="13">
        <f>D66</f>
        <v>0</v>
      </c>
      <c r="E70" s="10">
        <v>180</v>
      </c>
      <c r="F70" s="9">
        <f t="shared" ref="F70:F73" si="7">D70*E70</f>
        <v>0</v>
      </c>
    </row>
    <row r="71" spans="1:6">
      <c r="A71" s="40"/>
      <c r="B71" s="6" t="s">
        <v>80</v>
      </c>
      <c r="C71" s="13" t="s">
        <v>12</v>
      </c>
      <c r="D71" s="55">
        <f>D67</f>
        <v>100.36</v>
      </c>
      <c r="E71" s="10">
        <v>130</v>
      </c>
      <c r="F71" s="9">
        <f>D71*E71</f>
        <v>13046.8</v>
      </c>
    </row>
    <row r="72" spans="1:6">
      <c r="A72" s="40"/>
      <c r="B72" s="6" t="s">
        <v>85</v>
      </c>
      <c r="C72" s="13" t="s">
        <v>12</v>
      </c>
      <c r="D72" s="55">
        <v>0</v>
      </c>
      <c r="E72" s="10">
        <v>110</v>
      </c>
      <c r="F72" s="9">
        <f t="shared" si="7"/>
        <v>0</v>
      </c>
    </row>
    <row r="73" spans="1:6">
      <c r="A73" s="40"/>
      <c r="B73" s="6" t="s">
        <v>87</v>
      </c>
      <c r="C73" s="13" t="s">
        <v>86</v>
      </c>
      <c r="D73" s="55">
        <f>0.12*D71</f>
        <v>12.043199999999999</v>
      </c>
      <c r="E73" s="10">
        <v>115</v>
      </c>
      <c r="F73" s="9">
        <f t="shared" si="7"/>
        <v>1384.9679999999998</v>
      </c>
    </row>
    <row r="74" spans="1:6">
      <c r="A74" s="40">
        <v>67</v>
      </c>
      <c r="B74" s="7" t="s">
        <v>4</v>
      </c>
      <c r="C74" s="14"/>
      <c r="D74" s="14"/>
      <c r="E74" s="11"/>
      <c r="F74" s="15">
        <f>SUM(F51:F73)</f>
        <v>246999.04800000001</v>
      </c>
    </row>
    <row r="75" spans="1:6" ht="15.75">
      <c r="A75" s="40">
        <v>68</v>
      </c>
      <c r="B75" s="5" t="s">
        <v>89</v>
      </c>
      <c r="C75" s="58"/>
      <c r="D75" s="58"/>
      <c r="E75" s="59"/>
      <c r="F75" s="60"/>
    </row>
    <row r="76" spans="1:6">
      <c r="A76" s="40">
        <v>69</v>
      </c>
      <c r="B76" s="6" t="s">
        <v>58</v>
      </c>
      <c r="C76" s="13" t="str">
        <f>VLOOKUP(B76,'[1]Лестницы, крыльца'!Прайс,2,FALSE)</f>
        <v>тн</v>
      </c>
      <c r="D76" s="13">
        <v>0</v>
      </c>
      <c r="E76" s="10">
        <v>9000</v>
      </c>
      <c r="F76" s="9">
        <f t="shared" ref="F76" si="8">D76*E76</f>
        <v>0</v>
      </c>
    </row>
    <row r="77" spans="1:6" ht="30">
      <c r="A77" s="40">
        <v>70</v>
      </c>
      <c r="B77" s="6" t="s">
        <v>90</v>
      </c>
      <c r="C77" s="13" t="s">
        <v>91</v>
      </c>
      <c r="D77" s="13">
        <v>1.1000000000000001</v>
      </c>
      <c r="E77" s="10">
        <v>55000</v>
      </c>
      <c r="F77" s="9">
        <f>D77*E77</f>
        <v>60500.000000000007</v>
      </c>
    </row>
    <row r="78" spans="1:6">
      <c r="A78" s="40">
        <v>72</v>
      </c>
      <c r="B78" s="7" t="s">
        <v>4</v>
      </c>
      <c r="C78" s="13"/>
      <c r="D78" s="14"/>
      <c r="E78" s="11"/>
      <c r="F78" s="15">
        <f>SUM(F76:F77)</f>
        <v>60500.000000000007</v>
      </c>
    </row>
    <row r="79" spans="1:6" ht="15.75">
      <c r="A79" s="40">
        <v>79</v>
      </c>
      <c r="B79" s="24" t="s">
        <v>14</v>
      </c>
      <c r="C79" s="25"/>
      <c r="D79" s="25"/>
      <c r="E79" s="26"/>
      <c r="F79" s="27">
        <f>SUM(F10:F78)/2</f>
        <v>1547779.5365000002</v>
      </c>
    </row>
    <row r="80" spans="1:6" ht="15.75">
      <c r="A80" s="40">
        <v>80</v>
      </c>
      <c r="B80" s="28" t="s">
        <v>109</v>
      </c>
      <c r="C80" s="56" t="s">
        <v>57</v>
      </c>
      <c r="D80" s="56">
        <v>1</v>
      </c>
      <c r="E80" s="29"/>
      <c r="F80" s="30">
        <f>F79*D80%</f>
        <v>15477.795365000002</v>
      </c>
    </row>
    <row r="81" spans="1:8" ht="21">
      <c r="A81" s="40">
        <v>81</v>
      </c>
      <c r="B81" s="31" t="s">
        <v>18</v>
      </c>
      <c r="C81" s="32"/>
      <c r="D81" s="32"/>
      <c r="E81" s="33"/>
      <c r="F81" s="34">
        <f>F79+F80</f>
        <v>1563257.3318650001</v>
      </c>
    </row>
    <row r="82" spans="1:8" ht="15.75">
      <c r="A82" s="40">
        <v>82</v>
      </c>
      <c r="B82" s="20" t="s">
        <v>59</v>
      </c>
      <c r="C82" s="12"/>
      <c r="D82" s="12"/>
      <c r="E82" s="8"/>
      <c r="F82" s="9"/>
    </row>
    <row r="83" spans="1:8" ht="31.5">
      <c r="A83" s="40">
        <v>83</v>
      </c>
      <c r="B83" s="23" t="s">
        <v>106</v>
      </c>
      <c r="C83" s="13" t="s">
        <v>12</v>
      </c>
      <c r="D83" s="62">
        <f>F6</f>
        <v>110.07899999999999</v>
      </c>
      <c r="E83" s="10">
        <v>650</v>
      </c>
      <c r="F83" s="9">
        <f>D83*E83</f>
        <v>71551.349999999991</v>
      </c>
    </row>
    <row r="84" spans="1:8" ht="15" customHeight="1">
      <c r="A84" s="40">
        <v>85</v>
      </c>
      <c r="B84" s="23" t="s">
        <v>102</v>
      </c>
      <c r="C84" s="13" t="s">
        <v>12</v>
      </c>
      <c r="D84" s="62">
        <f>D83</f>
        <v>110.07899999999999</v>
      </c>
      <c r="E84" s="10">
        <v>500</v>
      </c>
      <c r="F84" s="9">
        <f t="shared" ref="F84:F86" si="9">D84*E84</f>
        <v>55039.5</v>
      </c>
    </row>
    <row r="85" spans="1:8" ht="15.75">
      <c r="A85" s="40">
        <v>87</v>
      </c>
      <c r="B85" s="23" t="s">
        <v>101</v>
      </c>
      <c r="C85" s="13" t="s">
        <v>12</v>
      </c>
      <c r="D85" s="62">
        <f>D84</f>
        <v>110.07899999999999</v>
      </c>
      <c r="E85" s="10">
        <v>180</v>
      </c>
      <c r="F85" s="9">
        <f t="shared" si="9"/>
        <v>19814.219999999998</v>
      </c>
    </row>
    <row r="86" spans="1:8" ht="15.75">
      <c r="A86" s="40">
        <v>89</v>
      </c>
      <c r="B86" s="23" t="s">
        <v>103</v>
      </c>
      <c r="C86" s="13" t="s">
        <v>12</v>
      </c>
      <c r="D86" s="62">
        <f>D85</f>
        <v>110.07899999999999</v>
      </c>
      <c r="E86" s="10">
        <v>120</v>
      </c>
      <c r="F86" s="9">
        <f t="shared" si="9"/>
        <v>13209.48</v>
      </c>
    </row>
    <row r="87" spans="1:8" ht="15.75">
      <c r="A87" s="40">
        <v>93</v>
      </c>
      <c r="B87" s="21" t="s">
        <v>4</v>
      </c>
      <c r="C87" s="13"/>
      <c r="D87" s="55"/>
      <c r="E87" s="10"/>
      <c r="F87" s="22">
        <f>SUM(F83:F86)</f>
        <v>159614.54999999999</v>
      </c>
    </row>
    <row r="88" spans="1:8" ht="15.75">
      <c r="A88" s="40">
        <v>94</v>
      </c>
      <c r="B88" s="20" t="s">
        <v>60</v>
      </c>
      <c r="C88" s="13" t="s">
        <v>12</v>
      </c>
      <c r="D88" s="55">
        <f>F6</f>
        <v>110.07899999999999</v>
      </c>
      <c r="E88" s="10">
        <v>730</v>
      </c>
      <c r="F88" s="22">
        <f>D88*E88</f>
        <v>80357.67</v>
      </c>
    </row>
    <row r="89" spans="1:8" ht="18.75">
      <c r="A89" s="40">
        <v>95</v>
      </c>
      <c r="B89" s="45" t="s">
        <v>61</v>
      </c>
      <c r="C89" s="35" t="s">
        <v>57</v>
      </c>
      <c r="D89" s="35">
        <v>1</v>
      </c>
      <c r="E89" s="36"/>
      <c r="F89" s="38">
        <f>(F81+F87)*D89%</f>
        <v>17228.718818650003</v>
      </c>
    </row>
    <row r="90" spans="1:8" ht="18.75">
      <c r="A90" s="40">
        <v>96</v>
      </c>
      <c r="B90" s="45" t="s">
        <v>62</v>
      </c>
      <c r="C90" s="35" t="s">
        <v>17</v>
      </c>
      <c r="D90" s="35">
        <v>0</v>
      </c>
      <c r="E90" s="36">
        <v>2000</v>
      </c>
      <c r="F90" s="38">
        <f>D90*E90</f>
        <v>0</v>
      </c>
    </row>
    <row r="91" spans="1:8" ht="15.75">
      <c r="A91" s="40">
        <v>97</v>
      </c>
      <c r="B91" s="45" t="s">
        <v>63</v>
      </c>
      <c r="C91" s="46"/>
      <c r="D91" s="46"/>
      <c r="E91" s="47"/>
      <c r="F91" s="48">
        <f>SUM(F92:F97)</f>
        <v>184500</v>
      </c>
      <c r="G91" s="57"/>
      <c r="H91" s="57"/>
    </row>
    <row r="92" spans="1:8">
      <c r="A92" s="40">
        <v>98</v>
      </c>
      <c r="B92" s="49" t="s">
        <v>107</v>
      </c>
      <c r="C92" s="50" t="s">
        <v>13</v>
      </c>
      <c r="D92" s="50">
        <v>2</v>
      </c>
      <c r="E92" s="51">
        <v>5000</v>
      </c>
      <c r="F92" s="52">
        <f>D92*E92</f>
        <v>10000</v>
      </c>
    </row>
    <row r="93" spans="1:8">
      <c r="A93" s="40"/>
      <c r="B93" s="49" t="s">
        <v>65</v>
      </c>
      <c r="C93" s="50" t="s">
        <v>13</v>
      </c>
      <c r="D93" s="50">
        <v>1</v>
      </c>
      <c r="E93" s="51">
        <v>88000</v>
      </c>
      <c r="F93" s="52">
        <f>D93*E93</f>
        <v>88000</v>
      </c>
    </row>
    <row r="94" spans="1:8">
      <c r="A94" s="40">
        <v>99</v>
      </c>
      <c r="B94" s="49" t="s">
        <v>108</v>
      </c>
      <c r="C94" s="50" t="s">
        <v>13</v>
      </c>
      <c r="D94" s="50">
        <v>6</v>
      </c>
      <c r="E94" s="51">
        <v>4000</v>
      </c>
      <c r="F94" s="52">
        <f t="shared" ref="F94:F97" si="10">D94*E94</f>
        <v>24000</v>
      </c>
    </row>
    <row r="95" spans="1:8">
      <c r="A95" s="40"/>
      <c r="B95" s="49" t="s">
        <v>98</v>
      </c>
      <c r="C95" s="50" t="s">
        <v>13</v>
      </c>
      <c r="D95" s="50">
        <v>1</v>
      </c>
      <c r="E95" s="51">
        <v>13500</v>
      </c>
      <c r="F95" s="64">
        <f t="shared" si="10"/>
        <v>13500</v>
      </c>
    </row>
    <row r="96" spans="1:8">
      <c r="A96" s="40"/>
      <c r="B96" s="49" t="s">
        <v>97</v>
      </c>
      <c r="C96" s="50" t="s">
        <v>13</v>
      </c>
      <c r="D96" s="50">
        <v>10</v>
      </c>
      <c r="E96" s="51">
        <v>3200</v>
      </c>
      <c r="F96" s="64">
        <f t="shared" si="10"/>
        <v>32000</v>
      </c>
    </row>
    <row r="97" spans="1:6">
      <c r="A97" s="40"/>
      <c r="B97" s="49" t="s">
        <v>99</v>
      </c>
      <c r="C97" s="50" t="s">
        <v>13</v>
      </c>
      <c r="D97" s="50">
        <v>1</v>
      </c>
      <c r="E97" s="51">
        <v>17000</v>
      </c>
      <c r="F97" s="64">
        <f t="shared" si="10"/>
        <v>17000</v>
      </c>
    </row>
    <row r="98" spans="1:6" ht="46.5">
      <c r="A98" s="40">
        <v>97</v>
      </c>
      <c r="B98" s="16" t="s">
        <v>5</v>
      </c>
      <c r="C98" s="17"/>
      <c r="D98" s="17"/>
      <c r="E98" s="18"/>
      <c r="F98" s="39">
        <f>F81+F87+F89+F90+F88+F91</f>
        <v>2004958.2706836502</v>
      </c>
    </row>
    <row r="99" spans="1:6">
      <c r="A99" s="40">
        <v>98</v>
      </c>
      <c r="B99" s="42" t="s">
        <v>22</v>
      </c>
      <c r="C99" s="37">
        <v>5</v>
      </c>
      <c r="D99" s="68" t="s">
        <v>34</v>
      </c>
      <c r="E99" s="68"/>
      <c r="F99" s="43">
        <f>F98/F6</f>
        <v>18213.812540844759</v>
      </c>
    </row>
    <row r="100" spans="1:6">
      <c r="A100"/>
      <c r="C100"/>
      <c r="D100"/>
      <c r="F100" s="1"/>
    </row>
    <row r="101" spans="1:6">
      <c r="A101"/>
      <c r="C101"/>
      <c r="D101"/>
      <c r="F101" s="1"/>
    </row>
    <row r="102" spans="1:6">
      <c r="A102"/>
      <c r="C102"/>
      <c r="D102"/>
      <c r="F102" s="1"/>
    </row>
    <row r="103" spans="1:6">
      <c r="A103"/>
      <c r="C103"/>
      <c r="D103"/>
      <c r="F103" s="1"/>
    </row>
  </sheetData>
  <mergeCells count="9">
    <mergeCell ref="A1:B1"/>
    <mergeCell ref="C1:F1"/>
    <mergeCell ref="C2:F2"/>
    <mergeCell ref="C3:F3"/>
    <mergeCell ref="D99:E99"/>
    <mergeCell ref="C6:D6"/>
    <mergeCell ref="C4:F4"/>
    <mergeCell ref="C5:F5"/>
    <mergeCell ref="C7:F7"/>
  </mergeCells>
  <dataValidations count="7">
    <dataValidation type="list" allowBlank="1" showInputMessage="1" showErrorMessage="1" sqref="B14:B15 B63">
      <formula1>Фундаменты</formula1>
    </dataValidation>
    <dataValidation type="list" allowBlank="1" showInputMessage="1" showErrorMessage="1" sqref="B52:B54 B66:B68 B70">
      <formula1>отделка</formula1>
    </dataValidation>
    <dataValidation type="list" allowBlank="1" showInputMessage="1" showErrorMessage="1" sqref="B75">
      <formula1>прочие</formula1>
    </dataValidation>
    <dataValidation type="list" allowBlank="1" showInputMessage="1" showErrorMessage="1" sqref="B18:B21">
      <formula1>наружныестены</formula1>
    </dataValidation>
    <dataValidation type="list" allowBlank="1" showInputMessage="1" showErrorMessage="1" sqref="B24:B37">
      <formula1>кровля</formula1>
    </dataValidation>
    <dataValidation type="list" allowBlank="1" showInputMessage="1" showErrorMessage="1" sqref="B76:B77">
      <formula1>лестницы</formula1>
    </dataValidation>
    <dataValidation type="list" allowBlank="1" showInputMessage="1" showErrorMessage="1" sqref="B62 B64:B65">
      <formula1>полы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2014-01-27T03:53:16Z</cp:lastPrinted>
  <dcterms:created xsi:type="dcterms:W3CDTF">2013-11-27T09:44:20Z</dcterms:created>
  <dcterms:modified xsi:type="dcterms:W3CDTF">2014-07-07T16:06:56Z</dcterms:modified>
</cp:coreProperties>
</file>