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70" windowWidth="27795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Лист1!$A$8:$F$101</definedName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ерегородки">[2]Перегородки!$A$1:$A$56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57" i="1" l="1"/>
  <c r="F86" i="1" l="1"/>
  <c r="F84" i="1"/>
  <c r="F99" i="1" l="1"/>
  <c r="D75" i="1" l="1"/>
  <c r="D76" i="1" s="1"/>
  <c r="E82" i="1"/>
  <c r="E80" i="1"/>
  <c r="E78" i="1"/>
  <c r="E76" i="1"/>
  <c r="F98" i="1"/>
  <c r="F97" i="1"/>
  <c r="D77" i="1" l="1"/>
  <c r="F76" i="1"/>
  <c r="F75" i="1"/>
  <c r="F77" i="1" l="1"/>
  <c r="D78" i="1"/>
  <c r="D79" i="1" l="1"/>
  <c r="F78" i="1"/>
  <c r="D80" i="1" l="1"/>
  <c r="F79" i="1"/>
  <c r="F80" i="1" l="1"/>
  <c r="D81" i="1"/>
  <c r="D82" i="1" l="1"/>
  <c r="F82" i="1" s="1"/>
  <c r="F81" i="1"/>
  <c r="F83" i="1"/>
  <c r="F96" i="1" l="1"/>
  <c r="F95" i="1" l="1"/>
  <c r="F94" i="1"/>
  <c r="F93" i="1"/>
  <c r="F92" i="1"/>
  <c r="F90" i="1" l="1"/>
  <c r="D69" i="1"/>
  <c r="D56" i="1"/>
  <c r="D51" i="1"/>
  <c r="D52" i="1" s="1"/>
  <c r="D46" i="1"/>
  <c r="D37" i="1"/>
  <c r="D22" i="1"/>
  <c r="D14" i="1"/>
  <c r="D16" i="1" s="1"/>
  <c r="F16" i="1" s="1"/>
  <c r="D12" i="1"/>
  <c r="F6" i="1"/>
  <c r="D25" i="1" s="1"/>
  <c r="D15" i="1" l="1"/>
  <c r="F15" i="1" s="1"/>
  <c r="D43" i="1"/>
  <c r="D47" i="1" l="1"/>
  <c r="F47" i="1" s="1"/>
  <c r="F46" i="1" l="1"/>
  <c r="F48" i="1" s="1"/>
  <c r="F89" i="1" l="1"/>
  <c r="F91" i="1"/>
  <c r="F88" i="1"/>
  <c r="F87" i="1" l="1"/>
  <c r="D68" i="1"/>
  <c r="F41" i="1"/>
  <c r="D63" i="1" l="1"/>
  <c r="F68" i="1"/>
  <c r="D20" i="1" l="1"/>
  <c r="D26" i="1" l="1"/>
  <c r="D38" i="1" s="1"/>
  <c r="F65" i="1"/>
  <c r="D27" i="1" l="1"/>
  <c r="D30" i="1"/>
  <c r="D29" i="1"/>
  <c r="D53" i="1"/>
  <c r="F53" i="1" s="1"/>
  <c r="D58" i="1"/>
  <c r="F69" i="1"/>
  <c r="C61" i="1"/>
  <c r="C60" i="1"/>
  <c r="C59" i="1"/>
  <c r="C58" i="1"/>
  <c r="C57" i="1"/>
  <c r="C38" i="1"/>
  <c r="C37" i="1"/>
  <c r="D36" i="1"/>
  <c r="C36" i="1"/>
  <c r="F35" i="1"/>
  <c r="F34" i="1"/>
  <c r="C34" i="1"/>
  <c r="C33" i="1"/>
  <c r="F32" i="1"/>
  <c r="C32" i="1"/>
  <c r="E31" i="1"/>
  <c r="C31" i="1"/>
  <c r="C30" i="1"/>
  <c r="C29" i="1"/>
  <c r="F28" i="1"/>
  <c r="C27" i="1"/>
  <c r="C26" i="1"/>
  <c r="C25" i="1"/>
  <c r="F22" i="1"/>
  <c r="F21" i="1"/>
  <c r="F20" i="1"/>
  <c r="F14" i="1"/>
  <c r="F12" i="1"/>
  <c r="F10" i="1"/>
  <c r="F70" i="1" l="1"/>
  <c r="F30" i="1"/>
  <c r="F59" i="1"/>
  <c r="F58" i="1"/>
  <c r="F57" i="1"/>
  <c r="F63" i="1"/>
  <c r="F64" i="1"/>
  <c r="D60" i="1"/>
  <c r="D61" i="1"/>
  <c r="F61" i="1" s="1"/>
  <c r="F51" i="1"/>
  <c r="F52" i="1"/>
  <c r="F33" i="1"/>
  <c r="F31" i="1"/>
  <c r="F29" i="1"/>
  <c r="F36" i="1"/>
  <c r="F37" i="1"/>
  <c r="F38" i="1"/>
  <c r="F25" i="1"/>
  <c r="F26" i="1"/>
  <c r="F27" i="1"/>
  <c r="F19" i="1"/>
  <c r="F23" i="1" s="1"/>
  <c r="F13" i="1"/>
  <c r="F11" i="1"/>
  <c r="F17" i="1" s="1"/>
  <c r="F39" i="1" l="1"/>
  <c r="F55" i="1"/>
  <c r="F60" i="1"/>
  <c r="F56" i="1" l="1"/>
  <c r="F1" i="1" l="1"/>
  <c r="F43" i="1" l="1"/>
  <c r="F42" i="1" l="1"/>
  <c r="F44" i="1" l="1"/>
  <c r="A1" i="1" l="1"/>
  <c r="F66" i="1" l="1"/>
  <c r="F71" i="1" s="1"/>
  <c r="F72" i="1" l="1"/>
  <c r="F73" i="1" s="1"/>
  <c r="F85" i="1" l="1"/>
  <c r="F100" i="1" s="1"/>
  <c r="F101" i="1" s="1"/>
</calcChain>
</file>

<file path=xl/sharedStrings.xml><?xml version="1.0" encoding="utf-8"?>
<sst xmlns="http://schemas.openxmlformats.org/spreadsheetml/2006/main" count="163" uniqueCount="114">
  <si>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</si>
  <si>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</si>
  <si>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</si>
  <si>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</si>
  <si>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</si>
  <si>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</si>
  <si>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</si>
  <si>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</si>
  <si>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</si>
  <si>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</si>
  <si>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</si>
  <si>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</si>
  <si>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</si>
  <si>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</si>
  <si>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Цоколь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</si>
  <si>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</si>
  <si>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</si>
  <si>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</si>
  <si>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</si>
  <si>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</si>
  <si>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</si>
  <si>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</si>
  <si>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</si>
  <si>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</si>
  <si>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</si>
  <si>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</si>
  <si>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</si>
  <si>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</si>
  <si>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</si>
  <si>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</si>
  <si>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</si>
  <si>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</si>
  <si>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</si>
  <si>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</si>
  <si>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</si>
  <si>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Цена за м2:</t>
  </si>
  <si>
    <t>Профлист Н44</t>
  </si>
  <si>
    <t>Описание модулей:</t>
  </si>
  <si>
    <t>Общая площадь, м2:</t>
  </si>
  <si>
    <t>Толщина сэндвич-панелей (стены/потолок/пол), мм:</t>
  </si>
  <si>
    <t>Винтовые сваи диам.114мм L=3,5м.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</si>
  <si>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</si>
  <si>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</si>
  <si>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</si>
  <si>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</si>
  <si>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</si>
  <si>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</si>
  <si>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</si>
  <si>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</si>
  <si>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</si>
  <si>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</si>
  <si>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</si>
  <si>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</si>
  <si>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</si>
  <si>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</si>
  <si>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</si>
  <si>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</si>
  <si>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</si>
  <si>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</si>
  <si>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</si>
  <si>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</si>
  <si>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Плитка для пола Соло Крема 300*300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</si>
  <si>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</si>
  <si>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</si>
  <si>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</si>
  <si>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</si>
  <si>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11. Аренда автокрана</t>
  </si>
  <si>
    <t>вн. высота 2,7м</t>
  </si>
  <si>
    <t>Подвесные потолки Армстронг OASIS Plus (Оазис плюс) 600*600*12 (кромка Board) комплектующими для подсистемы</t>
  </si>
  <si>
    <t>тн</t>
  </si>
  <si>
    <t>Раздел 8. Отделочные работы</t>
  </si>
  <si>
    <t xml:space="preserve">Раздел 9. Инженерные сети </t>
  </si>
  <si>
    <t>Раздел 10. Проектные работы</t>
  </si>
  <si>
    <t>Раздел 11. Накладные расходы</t>
  </si>
  <si>
    <t>Раздел 8. Лестницы, крыльца, основание тамбура</t>
  </si>
  <si>
    <t>Дверь входная стандартная металлическая</t>
  </si>
  <si>
    <t>Укладка линолеума</t>
  </si>
  <si>
    <t>Линолеум коммерческий</t>
  </si>
  <si>
    <t xml:space="preserve">МЗ </t>
  </si>
  <si>
    <t>Раздел 12. Дополнительное оборудование:</t>
  </si>
  <si>
    <t>Электрический конвектор NOREL PM, 1,5кВт</t>
  </si>
  <si>
    <t>Щит Аварийного Освещения</t>
  </si>
  <si>
    <t>Шкаф 1103,01 690х332х223 для собственных нужд</t>
  </si>
  <si>
    <t>Вентилятор канальный</t>
  </si>
  <si>
    <t>Монтаж металлоконструкций крыльц и лестниц</t>
  </si>
  <si>
    <t>Конструкции металлические крыльц и лестниц</t>
  </si>
  <si>
    <t>Сэндвич-панели 100 мм</t>
  </si>
  <si>
    <t>Монтаж сп</t>
  </si>
  <si>
    <t>150/200/150</t>
  </si>
  <si>
    <t>Устройство ленточного железобетонного фундамента 0,3х0,5м</t>
  </si>
  <si>
    <t>м3</t>
  </si>
  <si>
    <t>Бетон В15</t>
  </si>
  <si>
    <t>Арматура А-III</t>
  </si>
  <si>
    <t>-</t>
  </si>
  <si>
    <t>Модуль без 1 длинной стороны , 6,229х3м, 150/200/150</t>
  </si>
  <si>
    <t>Двери внутренние стандартные межкомнатные</t>
  </si>
  <si>
    <t>Лента</t>
  </si>
  <si>
    <t>г. Новосибирск</t>
  </si>
  <si>
    <t>Электрический конвектор NOREL PM, 1кВт</t>
  </si>
  <si>
    <t>Унитаз</t>
  </si>
  <si>
    <t>Раковина + смеситель</t>
  </si>
  <si>
    <t>Водонагреватель "Аристон", 10л</t>
  </si>
  <si>
    <t>Ёмкость ПВХ, 1000л</t>
  </si>
  <si>
    <t>Насосная станция Unipump Акваробот JET 80LA</t>
  </si>
  <si>
    <t>Электрика  (материалы)</t>
  </si>
  <si>
    <t>Водоснабжение, канализация (материалы)</t>
  </si>
  <si>
    <t>Водоснабжение, канализация</t>
  </si>
  <si>
    <t xml:space="preserve">Отопление и вентиляция (материалы) </t>
  </si>
  <si>
    <t>Отопление и вентиляция (монтаж)</t>
  </si>
  <si>
    <t>АПС, СОУЭ (материалы)</t>
  </si>
  <si>
    <t>АПС, СОУЭ (монтаж)</t>
  </si>
  <si>
    <t>Дизель генератор трех фазный 220-380В, 10KW</t>
  </si>
  <si>
    <t>Неучтенные работы и материалы (около 3 %)</t>
  </si>
  <si>
    <t>Септик 2 м3 с монтажём и присоединением под 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</si>
</sst>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44" fontId="2" fillId="2" borderId="4" xfId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12.&#1055;&#1088;&#1086;&#1084;&#1099;&#1096;&#1083;&#1077;&#1085;&#1085;&#1086;&#1077;%20&#1088;&#1072;&#1079;&#1074;&#1080;&#1090;&#1080;&#1077;/&#1057;&#1084;&#1077;&#1090;&#1072;%20&#1085;&#1072;%20&#1050;&#1047;%20&#1040;&#1041;&#1050;-&#1055;&#1088;&#1086;&#1084;&#1099;&#1096;&#1083;&#1077;&#1085;&#1085;&#1086;&#1077;%20&#1088;&#1072;&#1079;&#1074;&#1080;&#1090;&#1080;&#1077;%20756&#1084;2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sheetDataSet>
      <sheetData sheetId="0">
        <row r="1">
          <cell r="A1" t="str">
            <v>Каркасное здание с ограждающими конструкциями из сэндвич-панелей «Административно-бытовой корпус»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 xml:space="preserve">    Бикрост ЭПП 15 м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  <row r="2">
          <cell r="A2" t="str">
            <v>Монтаж сендвич-панелей перегородок</v>
          </cell>
        </row>
        <row r="3">
          <cell r="A3" t="str">
            <v>Сэндвич-панели б=100 мм</v>
          </cell>
        </row>
        <row r="4">
          <cell r="A4" t="str">
            <v>Перегородка, алюминий. Цвет: "Венге". Стекло</v>
          </cell>
        </row>
        <row r="5">
          <cell r="A5" t="str">
            <v>Монтаж остеклённых перегородок</v>
          </cell>
        </row>
        <row r="6">
          <cell r="A6" t="str">
            <v>Листы ГВЛ, б=12,5мм и краска ВЭД для окраски</v>
          </cell>
        </row>
        <row r="7">
          <cell r="A7" t="str">
            <v>Облицовка перегородок из сендич-панелей листами ГВЛ в 1-слой с устройством подсистемы</v>
          </cell>
        </row>
        <row r="8">
          <cell r="A8" t="str">
            <v>Пропитка с окраской облицовки ГВЛ ВЭД красками</v>
          </cell>
        </row>
        <row r="9">
          <cell r="A9" t="str">
            <v>Комплектующие для подсистемы ГВЛ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  <sheetData sheetId="20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abSelected="1" zoomScaleNormal="100" workbookViewId="0">
      <pane ySplit="7" topLeftCell="A80" activePane="bottomLeft" state="frozen"/>
      <selection pane="bottomLeft" activeCell="E96" sqref="E96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 x14ac:dyDescent="0.25">
      <c r="A1" s="68" t="str">
        <f>C2</f>
        <v xml:space="preserve">МЗ </v>
      </c>
      <c r="B1" s="68"/>
      <c r="C1" s="68"/>
      <c r="D1" s="68"/>
      <c r="E1" s="68"/>
      <c r="F1" s="46" t="str">
        <f>C3</f>
        <v>Лента</v>
      </c>
    </row>
    <row r="2" spans="1:6" x14ac:dyDescent="0.25">
      <c r="A2" s="41">
        <v>1</v>
      </c>
      <c r="B2" s="42" t="s">
        <v>2</v>
      </c>
      <c r="C2" s="67" t="s">
        <v>78</v>
      </c>
      <c r="D2" s="67"/>
      <c r="E2" s="67"/>
      <c r="F2" s="67"/>
    </row>
    <row r="3" spans="1:6" x14ac:dyDescent="0.25">
      <c r="A3" s="41">
        <v>2</v>
      </c>
      <c r="B3" s="42" t="s">
        <v>0</v>
      </c>
      <c r="C3" s="67" t="s">
        <v>96</v>
      </c>
      <c r="D3" s="67"/>
      <c r="E3" s="67"/>
      <c r="F3" s="67"/>
    </row>
    <row r="4" spans="1:6" ht="14.25" customHeight="1" x14ac:dyDescent="0.25">
      <c r="A4" s="41">
        <v>3</v>
      </c>
      <c r="B4" s="42" t="s">
        <v>1</v>
      </c>
      <c r="C4" s="70" t="s">
        <v>97</v>
      </c>
      <c r="D4" s="71"/>
      <c r="E4" s="71"/>
      <c r="F4" s="72"/>
    </row>
    <row r="5" spans="1:6" ht="15.75" customHeight="1" x14ac:dyDescent="0.25">
      <c r="A5" s="41">
        <v>4</v>
      </c>
      <c r="B5" s="42" t="s">
        <v>37</v>
      </c>
      <c r="C5" s="70" t="s">
        <v>67</v>
      </c>
      <c r="D5" s="71"/>
      <c r="E5" s="71"/>
      <c r="F5" s="72"/>
    </row>
    <row r="6" spans="1:6" ht="17.25" customHeight="1" x14ac:dyDescent="0.25">
      <c r="A6" s="41">
        <v>5</v>
      </c>
      <c r="B6" s="42" t="s">
        <v>39</v>
      </c>
      <c r="C6" s="67" t="s">
        <v>88</v>
      </c>
      <c r="D6" s="67"/>
      <c r="E6" s="45" t="s">
        <v>38</v>
      </c>
      <c r="F6" s="63">
        <f>6.229*6</f>
        <v>37.374000000000002</v>
      </c>
    </row>
    <row r="7" spans="1:6" x14ac:dyDescent="0.25">
      <c r="A7" s="41">
        <v>6</v>
      </c>
      <c r="B7" s="42" t="s">
        <v>3</v>
      </c>
      <c r="C7" s="70" t="s">
        <v>93</v>
      </c>
      <c r="D7" s="71"/>
      <c r="E7" s="71"/>
      <c r="F7" s="72"/>
    </row>
    <row r="8" spans="1:6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41">
        <v>8</v>
      </c>
      <c r="B9" s="5" t="s">
        <v>28</v>
      </c>
      <c r="C9" s="4"/>
      <c r="D9" s="4"/>
      <c r="E9" s="4"/>
      <c r="F9" s="4"/>
    </row>
    <row r="10" spans="1:6" x14ac:dyDescent="0.25">
      <c r="A10" s="41">
        <v>9</v>
      </c>
      <c r="B10" s="6" t="s">
        <v>23</v>
      </c>
      <c r="C10" s="13" t="s">
        <v>24</v>
      </c>
      <c r="D10" s="13">
        <v>8</v>
      </c>
      <c r="E10" s="10">
        <v>170</v>
      </c>
      <c r="F10" s="9">
        <f>D10*E10</f>
        <v>1360</v>
      </c>
    </row>
    <row r="11" spans="1:6" x14ac:dyDescent="0.25">
      <c r="A11" s="41">
        <v>10</v>
      </c>
      <c r="B11" s="6" t="s">
        <v>40</v>
      </c>
      <c r="C11" s="13" t="s">
        <v>12</v>
      </c>
      <c r="D11" s="13">
        <v>6</v>
      </c>
      <c r="E11" s="10">
        <v>5500</v>
      </c>
      <c r="F11" s="9">
        <f t="shared" ref="F11:F16" si="0">D11*E11</f>
        <v>33000</v>
      </c>
    </row>
    <row r="12" spans="1:6" x14ac:dyDescent="0.25">
      <c r="A12" s="41">
        <v>11</v>
      </c>
      <c r="B12" s="6" t="s">
        <v>25</v>
      </c>
      <c r="C12" s="13" t="s">
        <v>15</v>
      </c>
      <c r="D12" s="13">
        <f>D11*0.5</f>
        <v>3</v>
      </c>
      <c r="E12" s="10">
        <v>2000</v>
      </c>
      <c r="F12" s="9">
        <f t="shared" si="0"/>
        <v>6000</v>
      </c>
    </row>
    <row r="13" spans="1:6" x14ac:dyDescent="0.25">
      <c r="A13" s="41">
        <v>12</v>
      </c>
      <c r="B13" s="6" t="s">
        <v>26</v>
      </c>
      <c r="C13" s="13" t="s">
        <v>12</v>
      </c>
      <c r="D13" s="13">
        <v>6</v>
      </c>
      <c r="E13" s="10">
        <v>250</v>
      </c>
      <c r="F13" s="9">
        <f t="shared" si="0"/>
        <v>1500</v>
      </c>
    </row>
    <row r="14" spans="1:6" x14ac:dyDescent="0.25">
      <c r="A14" s="41">
        <v>13</v>
      </c>
      <c r="B14" s="6" t="s">
        <v>89</v>
      </c>
      <c r="C14" s="13" t="s">
        <v>90</v>
      </c>
      <c r="D14" s="55">
        <f>0.3*0.5*(6.229*3)</f>
        <v>2.8030500000000003</v>
      </c>
      <c r="E14" s="10">
        <v>1800</v>
      </c>
      <c r="F14" s="56">
        <f t="shared" si="0"/>
        <v>5045.4900000000007</v>
      </c>
    </row>
    <row r="15" spans="1:6" x14ac:dyDescent="0.25">
      <c r="A15" s="41">
        <v>14</v>
      </c>
      <c r="B15" s="6" t="s">
        <v>91</v>
      </c>
      <c r="C15" s="13" t="s">
        <v>90</v>
      </c>
      <c r="D15" s="55">
        <f>D14*1.02</f>
        <v>2.8591110000000004</v>
      </c>
      <c r="E15" s="10">
        <v>3800</v>
      </c>
      <c r="F15" s="56">
        <f t="shared" si="0"/>
        <v>10864.621800000001</v>
      </c>
    </row>
    <row r="16" spans="1:6" x14ac:dyDescent="0.25">
      <c r="A16" s="41">
        <v>15</v>
      </c>
      <c r="B16" s="6" t="s">
        <v>92</v>
      </c>
      <c r="C16" s="13" t="s">
        <v>69</v>
      </c>
      <c r="D16" s="55">
        <f>0.08*D14</f>
        <v>0.22424400000000003</v>
      </c>
      <c r="E16" s="10">
        <v>29500</v>
      </c>
      <c r="F16" s="56">
        <f t="shared" si="0"/>
        <v>6615.1980000000012</v>
      </c>
    </row>
    <row r="17" spans="1:6" x14ac:dyDescent="0.25">
      <c r="A17" s="41">
        <v>16</v>
      </c>
      <c r="B17" s="7" t="s">
        <v>4</v>
      </c>
      <c r="C17" s="14"/>
      <c r="D17" s="14"/>
      <c r="E17" s="11"/>
      <c r="F17" s="15">
        <f>SUM(F10:F16)</f>
        <v>64385.309800000003</v>
      </c>
    </row>
    <row r="18" spans="1:6" ht="18.75" x14ac:dyDescent="0.25">
      <c r="A18" s="41">
        <v>17</v>
      </c>
      <c r="B18" s="5" t="s">
        <v>18</v>
      </c>
      <c r="C18" s="4"/>
      <c r="D18" s="4"/>
      <c r="E18" s="4"/>
      <c r="F18" s="4"/>
    </row>
    <row r="19" spans="1:6" x14ac:dyDescent="0.25">
      <c r="A19" s="41">
        <v>18</v>
      </c>
      <c r="B19" s="6" t="s">
        <v>41</v>
      </c>
      <c r="C19" s="13" t="s">
        <v>43</v>
      </c>
      <c r="D19" s="13">
        <v>2</v>
      </c>
      <c r="E19" s="10">
        <v>2000</v>
      </c>
      <c r="F19" s="9">
        <f>D19*E19</f>
        <v>4000</v>
      </c>
    </row>
    <row r="20" spans="1:6" x14ac:dyDescent="0.25">
      <c r="A20" s="41">
        <v>19</v>
      </c>
      <c r="B20" s="6" t="s">
        <v>42</v>
      </c>
      <c r="C20" s="13" t="s">
        <v>43</v>
      </c>
      <c r="D20" s="13">
        <f>D19</f>
        <v>2</v>
      </c>
      <c r="E20" s="10">
        <v>2000</v>
      </c>
      <c r="F20" s="9">
        <f>D20*E20</f>
        <v>4000</v>
      </c>
    </row>
    <row r="21" spans="1:6" x14ac:dyDescent="0.25">
      <c r="A21" s="41">
        <v>20</v>
      </c>
      <c r="B21" s="6" t="s">
        <v>94</v>
      </c>
      <c r="C21" s="13" t="s">
        <v>43</v>
      </c>
      <c r="D21" s="13">
        <v>2</v>
      </c>
      <c r="E21" s="10">
        <v>168299</v>
      </c>
      <c r="F21" s="9">
        <f>D21*E21</f>
        <v>336598</v>
      </c>
    </row>
    <row r="22" spans="1:6" x14ac:dyDescent="0.25">
      <c r="A22" s="41">
        <v>21</v>
      </c>
      <c r="B22" s="6" t="s">
        <v>14</v>
      </c>
      <c r="C22" s="13" t="s">
        <v>11</v>
      </c>
      <c r="D22" s="57">
        <f>(6.229*2+6*2)*0.7</f>
        <v>17.120599999999996</v>
      </c>
      <c r="E22" s="10">
        <v>600</v>
      </c>
      <c r="F22" s="9">
        <f t="shared" ref="F22" si="1">D22*E22</f>
        <v>10272.359999999997</v>
      </c>
    </row>
    <row r="23" spans="1:6" x14ac:dyDescent="0.25">
      <c r="A23" s="41">
        <v>22</v>
      </c>
      <c r="B23" s="7" t="s">
        <v>4</v>
      </c>
      <c r="C23" s="14"/>
      <c r="D23" s="14"/>
      <c r="E23" s="11"/>
      <c r="F23" s="15">
        <f>SUM(F19:F22)</f>
        <v>354870.36</v>
      </c>
    </row>
    <row r="24" spans="1:6" ht="15.75" x14ac:dyDescent="0.25">
      <c r="A24" s="41">
        <v>23</v>
      </c>
      <c r="B24" s="5" t="s">
        <v>19</v>
      </c>
      <c r="C24" s="12"/>
      <c r="D24" s="12"/>
      <c r="E24" s="8"/>
      <c r="F24" s="9"/>
    </row>
    <row r="25" spans="1:6" x14ac:dyDescent="0.25">
      <c r="A25" s="41">
        <v>24</v>
      </c>
      <c r="B25" s="6" t="s">
        <v>44</v>
      </c>
      <c r="C25" s="13" t="str">
        <f>VLOOKUP(B25,[3]Кровля!Прайс,2,FALSE)</f>
        <v>тн</v>
      </c>
      <c r="D25" s="55">
        <f>0.009*F6</f>
        <v>0.336366</v>
      </c>
      <c r="E25" s="10">
        <v>42000</v>
      </c>
      <c r="F25" s="9">
        <f>D25*E25</f>
        <v>14127.371999999999</v>
      </c>
    </row>
    <row r="26" spans="1:6" x14ac:dyDescent="0.25">
      <c r="A26" s="41">
        <v>25</v>
      </c>
      <c r="B26" s="6" t="s">
        <v>36</v>
      </c>
      <c r="C26" s="13" t="str">
        <f>VLOOKUP(B26,[3]Кровля!Прайс,2,FALSE)</f>
        <v>м2</v>
      </c>
      <c r="D26" s="55">
        <f>1.1*F6</f>
        <v>41.111400000000003</v>
      </c>
      <c r="E26" s="10">
        <v>370</v>
      </c>
      <c r="F26" s="9">
        <f t="shared" ref="F26:F38" si="2">D26*E26</f>
        <v>15211.218000000001</v>
      </c>
    </row>
    <row r="27" spans="1:6" x14ac:dyDescent="0.25">
      <c r="A27" s="41">
        <v>26</v>
      </c>
      <c r="B27" s="6" t="s">
        <v>45</v>
      </c>
      <c r="C27" s="13" t="str">
        <f>VLOOKUP(B27,[3]Кровля!Прайс,2,FALSE)</f>
        <v>м3</v>
      </c>
      <c r="D27" s="55">
        <f>D26*0.04/4</f>
        <v>0.41111400000000003</v>
      </c>
      <c r="E27" s="10">
        <v>6500</v>
      </c>
      <c r="F27" s="9">
        <f t="shared" si="2"/>
        <v>2672.2410000000004</v>
      </c>
    </row>
    <row r="28" spans="1:6" x14ac:dyDescent="0.25">
      <c r="A28" s="41">
        <v>27</v>
      </c>
      <c r="B28" s="6" t="s">
        <v>46</v>
      </c>
      <c r="C28" s="13" t="s">
        <v>47</v>
      </c>
      <c r="D28" s="55">
        <v>0</v>
      </c>
      <c r="E28" s="10">
        <v>650</v>
      </c>
      <c r="F28" s="9">
        <f t="shared" si="2"/>
        <v>0</v>
      </c>
    </row>
    <row r="29" spans="1:6" x14ac:dyDescent="0.25">
      <c r="A29" s="41">
        <v>28</v>
      </c>
      <c r="B29" s="6" t="s">
        <v>48</v>
      </c>
      <c r="C29" s="13" t="str">
        <f>VLOOKUP(B29,[3]Кровля!Прайс,2,FALSE)</f>
        <v>тн</v>
      </c>
      <c r="D29" s="55">
        <f>D25</f>
        <v>0.336366</v>
      </c>
      <c r="E29" s="10">
        <v>7000</v>
      </c>
      <c r="F29" s="9">
        <f t="shared" si="2"/>
        <v>2354.5619999999999</v>
      </c>
    </row>
    <row r="30" spans="1:6" x14ac:dyDescent="0.25">
      <c r="A30" s="41">
        <v>29</v>
      </c>
      <c r="B30" s="6" t="s">
        <v>49</v>
      </c>
      <c r="C30" s="13" t="str">
        <f>VLOOKUP(B30,[3]Кровля!Прайс,2,FALSE)</f>
        <v>м2</v>
      </c>
      <c r="D30" s="55">
        <f>D26</f>
        <v>41.111400000000003</v>
      </c>
      <c r="E30" s="10">
        <v>250</v>
      </c>
      <c r="F30" s="9">
        <f t="shared" si="2"/>
        <v>10277.85</v>
      </c>
    </row>
    <row r="31" spans="1:6" x14ac:dyDescent="0.25">
      <c r="A31" s="41">
        <v>30</v>
      </c>
      <c r="B31" s="6" t="s">
        <v>50</v>
      </c>
      <c r="C31" s="13" t="str">
        <f>VLOOKUP(B31,[3]Кровля!Прайс,2,FALSE)</f>
        <v>м</v>
      </c>
      <c r="D31" s="55">
        <v>0</v>
      </c>
      <c r="E31" s="10">
        <f>E28*40%</f>
        <v>260</v>
      </c>
      <c r="F31" s="9">
        <f t="shared" si="2"/>
        <v>0</v>
      </c>
    </row>
    <row r="32" spans="1:6" x14ac:dyDescent="0.25">
      <c r="A32" s="41">
        <v>31</v>
      </c>
      <c r="B32" s="6" t="s">
        <v>51</v>
      </c>
      <c r="C32" s="13" t="str">
        <f>VLOOKUP(B32,[1]Кровля!Прайс,2,FALSE)</f>
        <v>шт</v>
      </c>
      <c r="D32" s="13">
        <v>0</v>
      </c>
      <c r="E32" s="10">
        <v>250</v>
      </c>
      <c r="F32" s="9">
        <f t="shared" si="2"/>
        <v>0</v>
      </c>
    </row>
    <row r="33" spans="1:7" x14ac:dyDescent="0.25">
      <c r="A33" s="41">
        <v>32</v>
      </c>
      <c r="B33" s="6" t="s">
        <v>52</v>
      </c>
      <c r="C33" s="13" t="str">
        <f>VLOOKUP(B33,[1]Кровля!Прайс,2,FALSE)</f>
        <v>шт</v>
      </c>
      <c r="D33" s="13">
        <v>0</v>
      </c>
      <c r="E33" s="10">
        <v>360</v>
      </c>
      <c r="F33" s="9">
        <f t="shared" si="2"/>
        <v>0</v>
      </c>
    </row>
    <row r="34" spans="1:7" x14ac:dyDescent="0.25">
      <c r="A34" s="41">
        <v>33</v>
      </c>
      <c r="B34" s="6" t="s">
        <v>53</v>
      </c>
      <c r="C34" s="13" t="str">
        <f>VLOOKUP(B34,[1]Кровля!Прайс,2,FALSE)</f>
        <v>м</v>
      </c>
      <c r="D34" s="13">
        <v>6.5</v>
      </c>
      <c r="E34" s="10">
        <v>120</v>
      </c>
      <c r="F34" s="9">
        <f t="shared" si="2"/>
        <v>780</v>
      </c>
    </row>
    <row r="35" spans="1:7" x14ac:dyDescent="0.25">
      <c r="A35" s="41">
        <v>34</v>
      </c>
      <c r="B35" s="6" t="s">
        <v>54</v>
      </c>
      <c r="C35" s="13" t="s">
        <v>11</v>
      </c>
      <c r="D35" s="13">
        <v>6.5</v>
      </c>
      <c r="E35" s="10">
        <v>480</v>
      </c>
      <c r="F35" s="9">
        <f t="shared" si="2"/>
        <v>3120</v>
      </c>
    </row>
    <row r="36" spans="1:7" x14ac:dyDescent="0.25">
      <c r="A36" s="41">
        <v>35</v>
      </c>
      <c r="B36" s="6" t="s">
        <v>55</v>
      </c>
      <c r="C36" s="13" t="str">
        <f>VLOOKUP(B36,[1]Кровля!Прайс,2,FALSE)</f>
        <v>м2</v>
      </c>
      <c r="D36" s="13">
        <f>D34*2*0.8</f>
        <v>10.4</v>
      </c>
      <c r="E36" s="10">
        <v>180</v>
      </c>
      <c r="F36" s="9">
        <f t="shared" si="2"/>
        <v>1872</v>
      </c>
    </row>
    <row r="37" spans="1:7" x14ac:dyDescent="0.25">
      <c r="A37" s="41">
        <v>36</v>
      </c>
      <c r="B37" s="6" t="s">
        <v>56</v>
      </c>
      <c r="C37" s="13" t="str">
        <f>VLOOKUP(B37,[1]Кровля!Прайс,2,FALSE)</f>
        <v>м2</v>
      </c>
      <c r="D37" s="13">
        <f>D35*2*0.8</f>
        <v>10.4</v>
      </c>
      <c r="E37" s="10">
        <v>353</v>
      </c>
      <c r="F37" s="9">
        <f t="shared" si="2"/>
        <v>3671.2000000000003</v>
      </c>
    </row>
    <row r="38" spans="1:7" x14ac:dyDescent="0.25">
      <c r="A38" s="41">
        <v>37</v>
      </c>
      <c r="B38" s="6" t="s">
        <v>57</v>
      </c>
      <c r="C38" s="13" t="str">
        <f>VLOOKUP(B38,[1]Кровля!Прайс,2,FALSE)</f>
        <v>компл</v>
      </c>
      <c r="D38" s="55">
        <f>D26</f>
        <v>41.111400000000003</v>
      </c>
      <c r="E38" s="10">
        <v>75</v>
      </c>
      <c r="F38" s="9">
        <f t="shared" si="2"/>
        <v>3083.3550000000005</v>
      </c>
    </row>
    <row r="39" spans="1:7" x14ac:dyDescent="0.25">
      <c r="A39" s="41">
        <v>38</v>
      </c>
      <c r="B39" s="7" t="s">
        <v>4</v>
      </c>
      <c r="C39" s="14"/>
      <c r="D39" s="14"/>
      <c r="E39" s="11"/>
      <c r="F39" s="15">
        <f>SUM(F25:F38)</f>
        <v>57169.798000000003</v>
      </c>
      <c r="G39" s="59"/>
    </row>
    <row r="40" spans="1:7" ht="17.25" customHeight="1" x14ac:dyDescent="0.25">
      <c r="A40" s="41">
        <v>39</v>
      </c>
      <c r="B40" s="5" t="s">
        <v>33</v>
      </c>
      <c r="C40" s="12"/>
      <c r="D40" s="12"/>
      <c r="E40" s="8"/>
      <c r="F40" s="9"/>
    </row>
    <row r="41" spans="1:7" x14ac:dyDescent="0.25">
      <c r="A41" s="41">
        <v>40</v>
      </c>
      <c r="B41" s="6" t="s">
        <v>95</v>
      </c>
      <c r="C41" s="13" t="s">
        <v>12</v>
      </c>
      <c r="D41" s="13">
        <v>2</v>
      </c>
      <c r="E41" s="10">
        <v>5000</v>
      </c>
      <c r="F41" s="9">
        <f t="shared" ref="F41" si="3">D41*E41</f>
        <v>10000</v>
      </c>
    </row>
    <row r="42" spans="1:7" x14ac:dyDescent="0.25">
      <c r="A42" s="41">
        <v>41</v>
      </c>
      <c r="B42" s="6" t="s">
        <v>75</v>
      </c>
      <c r="C42" s="13" t="s">
        <v>12</v>
      </c>
      <c r="D42" s="13">
        <v>2</v>
      </c>
      <c r="E42" s="10">
        <v>9200</v>
      </c>
      <c r="F42" s="9">
        <f t="shared" ref="F42:F43" si="4">D42*E42</f>
        <v>18400</v>
      </c>
    </row>
    <row r="43" spans="1:7" x14ac:dyDescent="0.25">
      <c r="A43" s="41">
        <v>42</v>
      </c>
      <c r="B43" s="6" t="s">
        <v>22</v>
      </c>
      <c r="C43" s="13" t="s">
        <v>12</v>
      </c>
      <c r="D43" s="13">
        <f>D41+D42</f>
        <v>4</v>
      </c>
      <c r="E43" s="10">
        <v>1500</v>
      </c>
      <c r="F43" s="9">
        <f t="shared" si="4"/>
        <v>6000</v>
      </c>
    </row>
    <row r="44" spans="1:7" x14ac:dyDescent="0.25">
      <c r="A44" s="41">
        <v>43</v>
      </c>
      <c r="B44" s="7" t="s">
        <v>4</v>
      </c>
      <c r="C44" s="14"/>
      <c r="D44" s="14"/>
      <c r="E44" s="11"/>
      <c r="F44" s="15">
        <f>SUM(F41:F43)</f>
        <v>34400</v>
      </c>
    </row>
    <row r="45" spans="1:7" ht="15.75" x14ac:dyDescent="0.25">
      <c r="A45" s="41">
        <v>44</v>
      </c>
      <c r="B45" s="5" t="s">
        <v>20</v>
      </c>
      <c r="C45" s="12"/>
      <c r="D45" s="12"/>
      <c r="E45" s="8"/>
      <c r="F45" s="9"/>
    </row>
    <row r="46" spans="1:7" x14ac:dyDescent="0.25">
      <c r="A46" s="41">
        <v>45</v>
      </c>
      <c r="B46" s="6" t="s">
        <v>86</v>
      </c>
      <c r="C46" s="13" t="s">
        <v>11</v>
      </c>
      <c r="D46" s="57">
        <f>(4.3+3+1.6+1.5)*2.7</f>
        <v>28.080000000000002</v>
      </c>
      <c r="E46" s="10">
        <v>1100</v>
      </c>
      <c r="F46" s="9">
        <f>D46*E46</f>
        <v>30888.000000000004</v>
      </c>
    </row>
    <row r="47" spans="1:7" x14ac:dyDescent="0.25">
      <c r="A47" s="41">
        <v>46</v>
      </c>
      <c r="B47" s="6" t="s">
        <v>87</v>
      </c>
      <c r="C47" s="13" t="s">
        <v>11</v>
      </c>
      <c r="D47" s="57">
        <f>D46</f>
        <v>28.080000000000002</v>
      </c>
      <c r="E47" s="10">
        <v>120</v>
      </c>
      <c r="F47" s="9">
        <f>D47*E47</f>
        <v>3369.6000000000004</v>
      </c>
    </row>
    <row r="48" spans="1:7" x14ac:dyDescent="0.25">
      <c r="A48" s="41">
        <v>47</v>
      </c>
      <c r="B48" s="7" t="s">
        <v>4</v>
      </c>
      <c r="C48" s="14"/>
      <c r="D48" s="14"/>
      <c r="E48" s="11"/>
      <c r="F48" s="15">
        <f>SUM(F46:F47)</f>
        <v>34257.600000000006</v>
      </c>
      <c r="G48" s="59"/>
    </row>
    <row r="49" spans="1:6" ht="15.75" x14ac:dyDescent="0.25">
      <c r="A49" s="41">
        <v>48</v>
      </c>
      <c r="B49" s="5" t="s">
        <v>70</v>
      </c>
      <c r="C49" s="12"/>
      <c r="D49" s="12"/>
      <c r="E49" s="8"/>
      <c r="F49" s="9"/>
    </row>
    <row r="50" spans="1:6" x14ac:dyDescent="0.25">
      <c r="A50" s="41">
        <v>49</v>
      </c>
      <c r="B50" s="19" t="s">
        <v>29</v>
      </c>
      <c r="C50" s="13"/>
      <c r="D50" s="13"/>
      <c r="E50" s="10"/>
      <c r="F50" s="9"/>
    </row>
    <row r="51" spans="1:6" x14ac:dyDescent="0.25">
      <c r="A51" s="41">
        <v>50</v>
      </c>
      <c r="B51" s="6" t="s">
        <v>32</v>
      </c>
      <c r="C51" s="13" t="s">
        <v>11</v>
      </c>
      <c r="D51" s="13">
        <f>(1.5*2+1.75*2)*2.7</f>
        <v>17.55</v>
      </c>
      <c r="E51" s="10">
        <v>150</v>
      </c>
      <c r="F51" s="9">
        <f>D51*E51</f>
        <v>2632.5</v>
      </c>
    </row>
    <row r="52" spans="1:6" x14ac:dyDescent="0.25">
      <c r="A52" s="41">
        <v>51</v>
      </c>
      <c r="B52" s="6" t="s">
        <v>30</v>
      </c>
      <c r="C52" s="13" t="s">
        <v>11</v>
      </c>
      <c r="D52" s="13">
        <f>D51</f>
        <v>17.55</v>
      </c>
      <c r="E52" s="10">
        <v>180</v>
      </c>
      <c r="F52" s="9">
        <f t="shared" ref="F52:F53" si="5">D52*E52</f>
        <v>3159</v>
      </c>
    </row>
    <row r="53" spans="1:6" x14ac:dyDescent="0.25">
      <c r="A53" s="41">
        <v>52</v>
      </c>
      <c r="B53" s="6" t="s">
        <v>31</v>
      </c>
      <c r="C53" s="13" t="s">
        <v>11</v>
      </c>
      <c r="D53" s="13">
        <f>D52</f>
        <v>17.55</v>
      </c>
      <c r="E53" s="10">
        <v>95</v>
      </c>
      <c r="F53" s="9">
        <f t="shared" si="5"/>
        <v>1667.25</v>
      </c>
    </row>
    <row r="54" spans="1:6" x14ac:dyDescent="0.25">
      <c r="A54" s="41">
        <v>53</v>
      </c>
      <c r="B54" s="19" t="s">
        <v>27</v>
      </c>
      <c r="C54" s="13"/>
      <c r="D54" s="13"/>
      <c r="E54" s="10"/>
      <c r="F54" s="9"/>
    </row>
    <row r="55" spans="1:6" x14ac:dyDescent="0.25">
      <c r="A55" s="41">
        <v>54</v>
      </c>
      <c r="B55" s="6" t="s">
        <v>76</v>
      </c>
      <c r="C55" s="13" t="s">
        <v>11</v>
      </c>
      <c r="D55" s="13">
        <v>21.68</v>
      </c>
      <c r="E55" s="10">
        <v>100</v>
      </c>
      <c r="F55" s="9">
        <f>D55*E55</f>
        <v>2168</v>
      </c>
    </row>
    <row r="56" spans="1:6" x14ac:dyDescent="0.25">
      <c r="A56" s="41">
        <v>55</v>
      </c>
      <c r="B56" s="6" t="s">
        <v>77</v>
      </c>
      <c r="C56" s="13" t="s">
        <v>11</v>
      </c>
      <c r="D56" s="13">
        <f>D55</f>
        <v>21.68</v>
      </c>
      <c r="E56" s="10">
        <v>360</v>
      </c>
      <c r="F56" s="9">
        <f>D56*E56</f>
        <v>7804.8</v>
      </c>
    </row>
    <row r="57" spans="1:6" x14ac:dyDescent="0.25">
      <c r="A57" s="41">
        <v>56</v>
      </c>
      <c r="B57" s="6" t="s">
        <v>58</v>
      </c>
      <c r="C57" s="13" t="str">
        <f>VLOOKUP(B57,[1]Отделка!Прайс,2,FALSE)</f>
        <v>м2</v>
      </c>
      <c r="D57" s="13">
        <f>4.16</f>
        <v>4.16</v>
      </c>
      <c r="E57" s="10">
        <v>360</v>
      </c>
      <c r="F57" s="9">
        <f t="shared" ref="F57:F61" si="6">D57*E57</f>
        <v>1497.6000000000001</v>
      </c>
    </row>
    <row r="58" spans="1:6" x14ac:dyDescent="0.25">
      <c r="A58" s="41">
        <v>57</v>
      </c>
      <c r="B58" s="6" t="s">
        <v>59</v>
      </c>
      <c r="C58" s="13" t="str">
        <f>VLOOKUP(B58,[1]Отделка!Прайс,2,FALSE)</f>
        <v>м2</v>
      </c>
      <c r="D58" s="13">
        <f>D57</f>
        <v>4.16</v>
      </c>
      <c r="E58" s="10">
        <v>635.85</v>
      </c>
      <c r="F58" s="9">
        <f t="shared" si="6"/>
        <v>2645.136</v>
      </c>
    </row>
    <row r="59" spans="1:6" x14ac:dyDescent="0.25">
      <c r="A59" s="41">
        <v>58</v>
      </c>
      <c r="B59" s="6" t="s">
        <v>60</v>
      </c>
      <c r="C59" s="13" t="str">
        <f>VLOOKUP(B59,[1]Отделка!Прайс,2,FALSE)</f>
        <v>м2</v>
      </c>
      <c r="D59" s="13">
        <v>2.65</v>
      </c>
      <c r="E59" s="10">
        <v>450</v>
      </c>
      <c r="F59" s="9">
        <f t="shared" si="6"/>
        <v>1192.5</v>
      </c>
    </row>
    <row r="60" spans="1:6" x14ac:dyDescent="0.25">
      <c r="A60" s="41">
        <v>59</v>
      </c>
      <c r="B60" s="6" t="s">
        <v>61</v>
      </c>
      <c r="C60" s="13" t="str">
        <f>VLOOKUP(B60,[1]Отделка!Прайс,2,FALSE)</f>
        <v>м2</v>
      </c>
      <c r="D60" s="13">
        <f>D59</f>
        <v>2.65</v>
      </c>
      <c r="E60" s="10">
        <v>599</v>
      </c>
      <c r="F60" s="9">
        <f t="shared" si="6"/>
        <v>1587.35</v>
      </c>
    </row>
    <row r="61" spans="1:6" x14ac:dyDescent="0.25">
      <c r="A61" s="41">
        <v>60</v>
      </c>
      <c r="B61" s="6" t="s">
        <v>62</v>
      </c>
      <c r="C61" s="13" t="str">
        <f>VLOOKUP(B61,[1]Отделка!Прайс,2,FALSE)</f>
        <v>кг</v>
      </c>
      <c r="D61" s="13">
        <f>D59*5</f>
        <v>13.25</v>
      </c>
      <c r="E61" s="10">
        <v>11.7</v>
      </c>
      <c r="F61" s="9">
        <f t="shared" si="6"/>
        <v>155.02499999999998</v>
      </c>
    </row>
    <row r="62" spans="1:6" ht="15.75" x14ac:dyDescent="0.25">
      <c r="A62" s="41">
        <v>61</v>
      </c>
      <c r="B62" s="19" t="s">
        <v>34</v>
      </c>
      <c r="C62" s="12"/>
      <c r="D62" s="12"/>
      <c r="E62" s="8"/>
      <c r="F62" s="9"/>
    </row>
    <row r="63" spans="1:6" ht="18" customHeight="1" x14ac:dyDescent="0.25">
      <c r="A63" s="41">
        <v>62</v>
      </c>
      <c r="B63" s="6" t="s">
        <v>63</v>
      </c>
      <c r="C63" s="13" t="s">
        <v>11</v>
      </c>
      <c r="D63" s="13">
        <f>D64+D65</f>
        <v>2.65</v>
      </c>
      <c r="E63" s="10">
        <v>180</v>
      </c>
      <c r="F63" s="9">
        <f t="shared" ref="F63:F65" si="7">D63*E63</f>
        <v>477</v>
      </c>
    </row>
    <row r="64" spans="1:6" ht="30" x14ac:dyDescent="0.25">
      <c r="A64" s="41">
        <v>63</v>
      </c>
      <c r="B64" s="6" t="s">
        <v>64</v>
      </c>
      <c r="C64" s="13" t="s">
        <v>11</v>
      </c>
      <c r="D64" s="13">
        <v>2.65</v>
      </c>
      <c r="E64" s="10">
        <v>275</v>
      </c>
      <c r="F64" s="9">
        <f t="shared" si="7"/>
        <v>728.75</v>
      </c>
    </row>
    <row r="65" spans="1:7" ht="30" x14ac:dyDescent="0.25">
      <c r="A65" s="41">
        <v>64</v>
      </c>
      <c r="B65" s="6" t="s">
        <v>68</v>
      </c>
      <c r="C65" s="13" t="s">
        <v>11</v>
      </c>
      <c r="D65" s="13">
        <v>0</v>
      </c>
      <c r="E65" s="10">
        <v>300</v>
      </c>
      <c r="F65" s="9">
        <f t="shared" si="7"/>
        <v>0</v>
      </c>
    </row>
    <row r="66" spans="1:7" x14ac:dyDescent="0.25">
      <c r="A66" s="41">
        <v>65</v>
      </c>
      <c r="B66" s="7" t="s">
        <v>4</v>
      </c>
      <c r="C66" s="14"/>
      <c r="D66" s="14"/>
      <c r="E66" s="11"/>
      <c r="F66" s="15">
        <f>SUM(F50:F65)</f>
        <v>25714.910999999996</v>
      </c>
    </row>
    <row r="67" spans="1:7" ht="15.75" x14ac:dyDescent="0.25">
      <c r="A67" s="41">
        <v>66</v>
      </c>
      <c r="B67" s="5" t="s">
        <v>74</v>
      </c>
      <c r="C67" s="60"/>
      <c r="D67" s="60"/>
      <c r="E67" s="61"/>
      <c r="F67" s="62"/>
    </row>
    <row r="68" spans="1:7" x14ac:dyDescent="0.25">
      <c r="A68" s="41">
        <v>67</v>
      </c>
      <c r="B68" s="6" t="s">
        <v>84</v>
      </c>
      <c r="C68" s="13" t="s">
        <v>69</v>
      </c>
      <c r="D68" s="13">
        <f>D69</f>
        <v>0.7</v>
      </c>
      <c r="E68" s="10">
        <v>9000</v>
      </c>
      <c r="F68" s="9">
        <f>D68*E68</f>
        <v>6300</v>
      </c>
    </row>
    <row r="69" spans="1:7" x14ac:dyDescent="0.25">
      <c r="A69" s="41">
        <v>68</v>
      </c>
      <c r="B69" s="6" t="s">
        <v>85</v>
      </c>
      <c r="C69" s="13" t="s">
        <v>69</v>
      </c>
      <c r="D69" s="13">
        <f>0.4+0.3</f>
        <v>0.7</v>
      </c>
      <c r="E69" s="10">
        <v>50000</v>
      </c>
      <c r="F69" s="9">
        <f>D69*E69</f>
        <v>35000</v>
      </c>
    </row>
    <row r="70" spans="1:7" x14ac:dyDescent="0.25">
      <c r="A70" s="41">
        <v>69</v>
      </c>
      <c r="B70" s="7" t="s">
        <v>4</v>
      </c>
      <c r="C70" s="13"/>
      <c r="D70" s="14"/>
      <c r="E70" s="11"/>
      <c r="F70" s="15">
        <f>SUM(F68:F69)</f>
        <v>41300</v>
      </c>
    </row>
    <row r="71" spans="1:7" ht="15.75" x14ac:dyDescent="0.25">
      <c r="A71" s="41">
        <v>70</v>
      </c>
      <c r="B71" s="25" t="s">
        <v>13</v>
      </c>
      <c r="C71" s="26"/>
      <c r="D71" s="26"/>
      <c r="E71" s="27"/>
      <c r="F71" s="28">
        <f>SUM(F10:F70)/2</f>
        <v>612097.97880000016</v>
      </c>
    </row>
    <row r="72" spans="1:7" ht="15.75" x14ac:dyDescent="0.25">
      <c r="A72" s="41">
        <v>71</v>
      </c>
      <c r="B72" s="29" t="s">
        <v>112</v>
      </c>
      <c r="C72" s="58" t="s">
        <v>65</v>
      </c>
      <c r="D72" s="58">
        <v>3</v>
      </c>
      <c r="E72" s="30"/>
      <c r="F72" s="31">
        <f>F71*D72%</f>
        <v>18362.939364000005</v>
      </c>
    </row>
    <row r="73" spans="1:7" ht="21" x14ac:dyDescent="0.35">
      <c r="A73" s="41">
        <v>72</v>
      </c>
      <c r="B73" s="32" t="s">
        <v>16</v>
      </c>
      <c r="C73" s="33"/>
      <c r="D73" s="33"/>
      <c r="E73" s="34"/>
      <c r="F73" s="35">
        <f>F71+F72</f>
        <v>630460.91816400015</v>
      </c>
      <c r="G73" s="59"/>
    </row>
    <row r="74" spans="1:7" ht="15.75" x14ac:dyDescent="0.25">
      <c r="A74" s="41">
        <v>73</v>
      </c>
      <c r="B74" s="21" t="s">
        <v>71</v>
      </c>
      <c r="C74" s="12"/>
      <c r="D74" s="12"/>
      <c r="E74" s="8"/>
      <c r="F74" s="9"/>
    </row>
    <row r="75" spans="1:7" ht="15.75" x14ac:dyDescent="0.25">
      <c r="A75" s="41">
        <v>74</v>
      </c>
      <c r="B75" s="20" t="s">
        <v>104</v>
      </c>
      <c r="C75" s="13" t="s">
        <v>11</v>
      </c>
      <c r="D75" s="65">
        <f>F6</f>
        <v>37.374000000000002</v>
      </c>
      <c r="E75" s="10">
        <v>450</v>
      </c>
      <c r="F75" s="9">
        <f>D75*E75</f>
        <v>16818.3</v>
      </c>
    </row>
    <row r="76" spans="1:7" ht="15.75" x14ac:dyDescent="0.25">
      <c r="A76" s="41">
        <v>75</v>
      </c>
      <c r="B76" s="20" t="s">
        <v>17</v>
      </c>
      <c r="C76" s="13" t="s">
        <v>11</v>
      </c>
      <c r="D76" s="65">
        <f>D75</f>
        <v>37.374000000000002</v>
      </c>
      <c r="E76" s="10">
        <f>E75*50%</f>
        <v>225</v>
      </c>
      <c r="F76" s="9">
        <f t="shared" ref="F76:F82" si="8">D76*E76</f>
        <v>8409.15</v>
      </c>
    </row>
    <row r="77" spans="1:7" ht="15.75" x14ac:dyDescent="0.25">
      <c r="A77" s="41">
        <v>76</v>
      </c>
      <c r="B77" s="24" t="s">
        <v>105</v>
      </c>
      <c r="C77" s="13" t="s">
        <v>11</v>
      </c>
      <c r="D77" s="65">
        <f t="shared" ref="D77:D82" si="9">D76</f>
        <v>37.374000000000002</v>
      </c>
      <c r="E77" s="10">
        <v>250</v>
      </c>
      <c r="F77" s="9">
        <f t="shared" si="8"/>
        <v>9343.5</v>
      </c>
    </row>
    <row r="78" spans="1:7" ht="15.75" x14ac:dyDescent="0.25">
      <c r="A78" s="41">
        <v>77</v>
      </c>
      <c r="B78" s="24" t="s">
        <v>106</v>
      </c>
      <c r="C78" s="13" t="s">
        <v>11</v>
      </c>
      <c r="D78" s="65">
        <f t="shared" si="9"/>
        <v>37.374000000000002</v>
      </c>
      <c r="E78" s="10">
        <f>E77*50%</f>
        <v>125</v>
      </c>
      <c r="F78" s="9">
        <f t="shared" si="8"/>
        <v>4671.75</v>
      </c>
    </row>
    <row r="79" spans="1:7" ht="15.75" x14ac:dyDescent="0.25">
      <c r="A79" s="41">
        <v>78</v>
      </c>
      <c r="B79" s="24" t="s">
        <v>107</v>
      </c>
      <c r="C79" s="13" t="s">
        <v>11</v>
      </c>
      <c r="D79" s="65">
        <f t="shared" si="9"/>
        <v>37.374000000000002</v>
      </c>
      <c r="E79" s="10">
        <v>150</v>
      </c>
      <c r="F79" s="9">
        <f t="shared" si="8"/>
        <v>5606.1</v>
      </c>
    </row>
    <row r="80" spans="1:7" ht="15.75" x14ac:dyDescent="0.25">
      <c r="A80" s="41">
        <v>79</v>
      </c>
      <c r="B80" s="24" t="s">
        <v>108</v>
      </c>
      <c r="C80" s="13" t="s">
        <v>11</v>
      </c>
      <c r="D80" s="65">
        <f t="shared" si="9"/>
        <v>37.374000000000002</v>
      </c>
      <c r="E80" s="10">
        <f>E79*50%</f>
        <v>75</v>
      </c>
      <c r="F80" s="9">
        <f t="shared" si="8"/>
        <v>2803.05</v>
      </c>
    </row>
    <row r="81" spans="1:8" ht="15.75" x14ac:dyDescent="0.25">
      <c r="A81" s="41">
        <v>80</v>
      </c>
      <c r="B81" s="24" t="s">
        <v>109</v>
      </c>
      <c r="C81" s="13" t="s">
        <v>11</v>
      </c>
      <c r="D81" s="65">
        <f t="shared" si="9"/>
        <v>37.374000000000002</v>
      </c>
      <c r="E81" s="10">
        <v>200</v>
      </c>
      <c r="F81" s="9">
        <f t="shared" si="8"/>
        <v>7474.8</v>
      </c>
    </row>
    <row r="82" spans="1:8" ht="15.75" x14ac:dyDescent="0.25">
      <c r="A82" s="41">
        <v>81</v>
      </c>
      <c r="B82" s="24" t="s">
        <v>110</v>
      </c>
      <c r="C82" s="13" t="s">
        <v>11</v>
      </c>
      <c r="D82" s="65">
        <f t="shared" si="9"/>
        <v>37.374000000000002</v>
      </c>
      <c r="E82" s="10">
        <f>E81*120%</f>
        <v>240</v>
      </c>
      <c r="F82" s="9">
        <f t="shared" si="8"/>
        <v>8969.76</v>
      </c>
    </row>
    <row r="83" spans="1:8" ht="15.75" x14ac:dyDescent="0.25">
      <c r="A83" s="41">
        <v>82</v>
      </c>
      <c r="B83" s="22" t="s">
        <v>4</v>
      </c>
      <c r="C83" s="13"/>
      <c r="D83" s="57"/>
      <c r="E83" s="10"/>
      <c r="F83" s="23">
        <f>SUM(F75:F82)</f>
        <v>64096.41</v>
      </c>
    </row>
    <row r="84" spans="1:8" ht="15.75" x14ac:dyDescent="0.25">
      <c r="A84" s="41">
        <v>83</v>
      </c>
      <c r="B84" s="21" t="s">
        <v>72</v>
      </c>
      <c r="C84" s="13"/>
      <c r="D84" s="57"/>
      <c r="E84" s="10"/>
      <c r="F84" s="23">
        <f>35000+50000+35000+20000</f>
        <v>140000</v>
      </c>
    </row>
    <row r="85" spans="1:8" ht="18.75" x14ac:dyDescent="0.3">
      <c r="A85" s="41">
        <v>84</v>
      </c>
      <c r="B85" s="47" t="s">
        <v>73</v>
      </c>
      <c r="C85" s="36" t="s">
        <v>65</v>
      </c>
      <c r="D85" s="36">
        <v>1</v>
      </c>
      <c r="E85" s="37"/>
      <c r="F85" s="39">
        <f>(F73+F83)*D85%</f>
        <v>6945.5732816400023</v>
      </c>
    </row>
    <row r="86" spans="1:8" ht="18.75" x14ac:dyDescent="0.3">
      <c r="A86" s="41">
        <v>85</v>
      </c>
      <c r="B86" s="47" t="s">
        <v>66</v>
      </c>
      <c r="C86" s="36" t="s">
        <v>15</v>
      </c>
      <c r="D86" s="36">
        <v>16</v>
      </c>
      <c r="E86" s="37">
        <v>2000</v>
      </c>
      <c r="F86" s="39">
        <f>D86*E86</f>
        <v>32000</v>
      </c>
    </row>
    <row r="87" spans="1:8" ht="15.75" x14ac:dyDescent="0.25">
      <c r="A87" s="41">
        <v>86</v>
      </c>
      <c r="B87" s="47" t="s">
        <v>79</v>
      </c>
      <c r="C87" s="48"/>
      <c r="D87" s="48"/>
      <c r="E87" s="49"/>
      <c r="F87" s="50">
        <f>SUM(F88:F99)</f>
        <v>193350</v>
      </c>
      <c r="G87" s="59"/>
      <c r="H87" s="59"/>
    </row>
    <row r="88" spans="1:8" x14ac:dyDescent="0.25">
      <c r="A88" s="41">
        <v>87</v>
      </c>
      <c r="B88" s="51" t="s">
        <v>81</v>
      </c>
      <c r="C88" s="52" t="s">
        <v>12</v>
      </c>
      <c r="D88" s="52">
        <v>1</v>
      </c>
      <c r="E88" s="53">
        <v>4200</v>
      </c>
      <c r="F88" s="54">
        <f>D88*E88</f>
        <v>4200</v>
      </c>
    </row>
    <row r="89" spans="1:8" x14ac:dyDescent="0.25">
      <c r="A89" s="41">
        <v>88</v>
      </c>
      <c r="B89" s="51" t="s">
        <v>82</v>
      </c>
      <c r="C89" s="52" t="s">
        <v>12</v>
      </c>
      <c r="D89" s="52">
        <v>0</v>
      </c>
      <c r="E89" s="53">
        <v>1900</v>
      </c>
      <c r="F89" s="54">
        <f>D89*E89</f>
        <v>0</v>
      </c>
    </row>
    <row r="90" spans="1:8" x14ac:dyDescent="0.25">
      <c r="A90" s="41">
        <v>89</v>
      </c>
      <c r="B90" s="64" t="s">
        <v>98</v>
      </c>
      <c r="C90" s="52" t="s">
        <v>12</v>
      </c>
      <c r="D90" s="52">
        <v>1</v>
      </c>
      <c r="E90" s="53">
        <v>1800</v>
      </c>
      <c r="F90" s="54">
        <f t="shared" ref="F90" si="10">D90*E90</f>
        <v>1800</v>
      </c>
    </row>
    <row r="91" spans="1:8" x14ac:dyDescent="0.25">
      <c r="A91" s="41">
        <v>90</v>
      </c>
      <c r="B91" s="64" t="s">
        <v>80</v>
      </c>
      <c r="C91" s="52" t="s">
        <v>12</v>
      </c>
      <c r="D91" s="52">
        <v>2</v>
      </c>
      <c r="E91" s="53">
        <v>2300</v>
      </c>
      <c r="F91" s="54">
        <f t="shared" ref="F91" si="11">D91*E91</f>
        <v>4600</v>
      </c>
    </row>
    <row r="92" spans="1:8" x14ac:dyDescent="0.25">
      <c r="A92" s="41">
        <v>91</v>
      </c>
      <c r="B92" s="51" t="s">
        <v>99</v>
      </c>
      <c r="C92" s="52" t="s">
        <v>12</v>
      </c>
      <c r="D92" s="52">
        <v>1</v>
      </c>
      <c r="E92" s="53">
        <v>5000</v>
      </c>
      <c r="F92" s="54">
        <f>D92*E92</f>
        <v>5000</v>
      </c>
    </row>
    <row r="93" spans="1:8" x14ac:dyDescent="0.25">
      <c r="A93" s="41">
        <v>92</v>
      </c>
      <c r="B93" s="51" t="s">
        <v>100</v>
      </c>
      <c r="C93" s="52" t="s">
        <v>12</v>
      </c>
      <c r="D93" s="52">
        <v>1</v>
      </c>
      <c r="E93" s="53">
        <v>4000</v>
      </c>
      <c r="F93" s="54">
        <f t="shared" ref="F93:F94" si="12">D93*E93</f>
        <v>4000</v>
      </c>
    </row>
    <row r="94" spans="1:8" x14ac:dyDescent="0.25">
      <c r="A94" s="41">
        <v>93</v>
      </c>
      <c r="B94" s="51" t="s">
        <v>101</v>
      </c>
      <c r="C94" s="52" t="s">
        <v>12</v>
      </c>
      <c r="D94" s="52">
        <v>1</v>
      </c>
      <c r="E94" s="53">
        <v>7500</v>
      </c>
      <c r="F94" s="66">
        <f t="shared" si="12"/>
        <v>7500</v>
      </c>
    </row>
    <row r="95" spans="1:8" ht="18" customHeight="1" x14ac:dyDescent="0.25">
      <c r="A95" s="41">
        <v>94</v>
      </c>
      <c r="B95" s="51" t="s">
        <v>113</v>
      </c>
      <c r="C95" s="52" t="s">
        <v>12</v>
      </c>
      <c r="D95" s="52">
        <v>1</v>
      </c>
      <c r="E95" s="53">
        <v>45000</v>
      </c>
      <c r="F95" s="54">
        <f>D95*E95</f>
        <v>45000</v>
      </c>
    </row>
    <row r="96" spans="1:8" ht="18" customHeight="1" x14ac:dyDescent="0.25">
      <c r="A96" s="41">
        <v>95</v>
      </c>
      <c r="B96" s="51" t="s">
        <v>83</v>
      </c>
      <c r="C96" s="52" t="s">
        <v>12</v>
      </c>
      <c r="D96" s="52">
        <v>2</v>
      </c>
      <c r="E96" s="53">
        <v>750</v>
      </c>
      <c r="F96" s="66">
        <f>D96*E96</f>
        <v>1500</v>
      </c>
    </row>
    <row r="97" spans="1:6" ht="18" customHeight="1" x14ac:dyDescent="0.25">
      <c r="A97" s="41">
        <v>96</v>
      </c>
      <c r="B97" s="51" t="s">
        <v>102</v>
      </c>
      <c r="C97" s="52" t="s">
        <v>12</v>
      </c>
      <c r="D97" s="52">
        <v>1</v>
      </c>
      <c r="E97" s="53">
        <v>5500</v>
      </c>
      <c r="F97" s="66">
        <f t="shared" ref="F97" si="13">D97*E97</f>
        <v>5500</v>
      </c>
    </row>
    <row r="98" spans="1:6" ht="18" customHeight="1" x14ac:dyDescent="0.25">
      <c r="A98" s="41">
        <v>97</v>
      </c>
      <c r="B98" s="51" t="s">
        <v>103</v>
      </c>
      <c r="C98" s="52" t="s">
        <v>12</v>
      </c>
      <c r="D98" s="52">
        <v>1</v>
      </c>
      <c r="E98" s="53">
        <v>4250</v>
      </c>
      <c r="F98" s="66">
        <f>D98*E98</f>
        <v>4250</v>
      </c>
    </row>
    <row r="99" spans="1:6" x14ac:dyDescent="0.25">
      <c r="A99" s="41">
        <v>98</v>
      </c>
      <c r="B99" s="51" t="s">
        <v>111</v>
      </c>
      <c r="C99" s="52" t="s">
        <v>12</v>
      </c>
      <c r="D99" s="52">
        <v>1</v>
      </c>
      <c r="E99" s="53">
        <v>110000</v>
      </c>
      <c r="F99" s="66">
        <f t="shared" ref="F99" si="14">D99*E99</f>
        <v>110000</v>
      </c>
    </row>
    <row r="100" spans="1:6" ht="46.5" x14ac:dyDescent="0.25">
      <c r="A100" s="41">
        <v>99</v>
      </c>
      <c r="B100" s="16" t="s">
        <v>5</v>
      </c>
      <c r="C100" s="17"/>
      <c r="D100" s="17"/>
      <c r="E100" s="18"/>
      <c r="F100" s="40">
        <f>F73+F83+F85+F86+F84+F87</f>
        <v>1066852.9014456403</v>
      </c>
    </row>
    <row r="101" spans="1:6" x14ac:dyDescent="0.25">
      <c r="A101" s="41">
        <v>100</v>
      </c>
      <c r="B101" s="43" t="s">
        <v>21</v>
      </c>
      <c r="C101" s="38">
        <v>2</v>
      </c>
      <c r="D101" s="69" t="s">
        <v>35</v>
      </c>
      <c r="E101" s="69"/>
      <c r="F101" s="44">
        <f>F100/F6</f>
        <v>28545.322990465032</v>
      </c>
    </row>
    <row r="102" spans="1:6" x14ac:dyDescent="0.25">
      <c r="A102"/>
      <c r="C102"/>
      <c r="D102"/>
      <c r="F102" s="1"/>
    </row>
    <row r="103" spans="1:6" x14ac:dyDescent="0.25">
      <c r="A103"/>
      <c r="C103"/>
      <c r="D103"/>
      <c r="F103" s="1"/>
    </row>
    <row r="104" spans="1:6" x14ac:dyDescent="0.25">
      <c r="A104"/>
      <c r="C104"/>
      <c r="D104"/>
      <c r="F104" s="1"/>
    </row>
    <row r="105" spans="1:6" x14ac:dyDescent="0.25">
      <c r="A105"/>
      <c r="C105"/>
      <c r="D105"/>
      <c r="F105" s="1"/>
    </row>
  </sheetData>
  <autoFilter ref="A8:F101"/>
  <mergeCells count="8">
    <mergeCell ref="C2:F2"/>
    <mergeCell ref="C3:F3"/>
    <mergeCell ref="A1:E1"/>
    <mergeCell ref="D101:E101"/>
    <mergeCell ref="C6:D6"/>
    <mergeCell ref="C4:F4"/>
    <mergeCell ref="C5:F5"/>
    <mergeCell ref="C7:F7"/>
  </mergeCells>
  <dataValidations count="6">
    <dataValidation type="list" allowBlank="1" showInputMessage="1" showErrorMessage="1" sqref="B14:B16">
      <formula1>Фундаменты</formula1>
    </dataValidation>
    <dataValidation type="list" allowBlank="1" showInputMessage="1" showErrorMessage="1" sqref="B25:B38">
      <formula1>кровля</formula1>
    </dataValidation>
    <dataValidation type="list" allowBlank="1" showInputMessage="1" showErrorMessage="1" sqref="B57:B61 B63:B65">
      <formula1>отделка</formula1>
    </dataValidation>
    <dataValidation type="list" allowBlank="1" showInputMessage="1" showErrorMessage="1" sqref="B67">
      <formula1>прочие</formula1>
    </dataValidation>
    <dataValidation type="list" allowBlank="1" showInputMessage="1" showErrorMessage="1" sqref="B68:B69">
      <formula1>лестницы</formula1>
    </dataValidation>
    <dataValidation type="list" allowBlank="1" showInputMessage="1" showErrorMessage="1" sqref="B19:B22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2014-07-15T07:09:19Z</dcterms:modified>
</cp:coreProperties>
</file>