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8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F25" i="1" l="1"/>
  <c r="F26" i="1"/>
  <c r="F27" i="1"/>
  <c r="F28" i="1"/>
  <c r="F33" i="1"/>
  <c r="F35" i="1"/>
  <c r="F37" i="1"/>
  <c r="F38" i="1"/>
  <c r="F86" i="1" l="1"/>
  <c r="F90" i="1"/>
  <c r="F91" i="1"/>
  <c r="F88" i="1" l="1"/>
  <c r="F102" i="1"/>
  <c r="F101" i="1"/>
  <c r="F100" i="1"/>
  <c r="F99" i="1"/>
  <c r="D67" i="1"/>
  <c r="D68" i="1"/>
  <c r="D85" i="1"/>
  <c r="D63" i="1"/>
  <c r="D56" i="1"/>
  <c r="D57" i="1"/>
  <c r="D51" i="1"/>
  <c r="D46" i="1"/>
  <c r="D28" i="1" l="1"/>
  <c r="D22" i="1"/>
  <c r="D14" i="1"/>
  <c r="F6" i="1"/>
  <c r="D26" i="1" s="1"/>
  <c r="D25" i="1" l="1"/>
  <c r="F89" i="1"/>
  <c r="F96" i="1"/>
  <c r="F97" i="1"/>
  <c r="F98" i="1"/>
  <c r="F105" i="1"/>
  <c r="F63" i="1"/>
  <c r="F56" i="1"/>
  <c r="D52" i="1"/>
  <c r="F21" i="1"/>
  <c r="F20" i="1"/>
  <c r="F22" i="1"/>
  <c r="D35" i="1" l="1"/>
  <c r="D36" i="1"/>
  <c r="D55" i="1" l="1"/>
  <c r="D53" i="1"/>
  <c r="D12" i="1" l="1"/>
  <c r="F95" i="1" l="1"/>
  <c r="F94" i="1" s="1"/>
  <c r="F103" i="1"/>
  <c r="F104" i="1"/>
  <c r="F92" i="1"/>
  <c r="F93" i="1"/>
  <c r="E81" i="1" l="1"/>
  <c r="E79" i="1"/>
  <c r="E77" i="1"/>
  <c r="E75" i="1"/>
  <c r="D58" i="1" l="1"/>
  <c r="F58" i="1" s="1"/>
  <c r="F52" i="1" l="1"/>
  <c r="D47" i="1"/>
  <c r="F68" i="1"/>
  <c r="C67" i="1"/>
  <c r="F83" i="1"/>
  <c r="D74" i="1"/>
  <c r="F74" i="1" s="1"/>
  <c r="C63" i="1"/>
  <c r="C61" i="1"/>
  <c r="C59" i="1"/>
  <c r="C58" i="1"/>
  <c r="C57" i="1"/>
  <c r="D38" i="1"/>
  <c r="D29" i="1"/>
  <c r="C38" i="1"/>
  <c r="C37" i="1"/>
  <c r="C36" i="1"/>
  <c r="C34" i="1"/>
  <c r="D33" i="1"/>
  <c r="C33" i="1"/>
  <c r="C32" i="1"/>
  <c r="E31" i="1"/>
  <c r="D31" i="1"/>
  <c r="C31" i="1"/>
  <c r="C30" i="1"/>
  <c r="C29" i="1"/>
  <c r="C27" i="1"/>
  <c r="C26" i="1"/>
  <c r="C25" i="1"/>
  <c r="C15" i="1"/>
  <c r="F69" i="1" l="1"/>
  <c r="D30" i="1"/>
  <c r="D75" i="1"/>
  <c r="F64" i="1"/>
  <c r="D60" i="1"/>
  <c r="F60" i="1" s="1"/>
  <c r="D61" i="1"/>
  <c r="F61" i="1" s="1"/>
  <c r="F51" i="1"/>
  <c r="D15" i="1"/>
  <c r="D37" i="1"/>
  <c r="D27" i="1"/>
  <c r="F23" i="1"/>
  <c r="D13" i="1"/>
  <c r="F87" i="1"/>
  <c r="F65" i="1" l="1"/>
  <c r="F16" i="1"/>
  <c r="D76" i="1"/>
  <c r="D77" i="1" l="1"/>
  <c r="F76" i="1"/>
  <c r="D78" i="1" l="1"/>
  <c r="D1" i="1"/>
  <c r="F78" i="1" l="1"/>
  <c r="D79" i="1"/>
  <c r="D80" i="1" l="1"/>
  <c r="F41" i="1"/>
  <c r="F42" i="1"/>
  <c r="F80" i="1" l="1"/>
  <c r="D81" i="1"/>
  <c r="F44" i="1"/>
  <c r="F82" i="1" l="1"/>
  <c r="F46" i="1"/>
  <c r="F48" i="1" s="1"/>
  <c r="A1" i="1" l="1"/>
  <c r="F39" i="1" l="1"/>
  <c r="F70" i="1" s="1"/>
  <c r="F71" i="1" l="1"/>
  <c r="F72" i="1" s="1"/>
  <c r="F84" i="1" l="1"/>
  <c r="F106" i="1" s="1"/>
  <c r="F107" i="1" l="1"/>
</calcChain>
</file>

<file path=xl/sharedStrings.xml><?xml version="1.0" encoding="utf-8"?>
<sst xmlns="http://schemas.openxmlformats.org/spreadsheetml/2006/main" count="174" uniqueCount="122">
  <si>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</si>
  <si>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</si>
  <si>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</si>
  <si>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</si>
  <si>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</si>
  <si>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</si>
  <si>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</si>
  <si>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</si>
  <si>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</si>
  <si>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</si>
  <si>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</si>
  <si>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</si>
  <si>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</si>
  <si>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</si>
  <si>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</si>
  <si>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</si>
  <si>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</si>
  <si>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</si>
  <si>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</si>
  <si>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</si>
  <si>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</si>
  <si>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</si>
  <si>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</si>
  <si>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</si>
  <si>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</si>
  <si>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</si>
  <si>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</si>
  <si>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</si>
  <si>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</si>
  <si>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</si>
  <si>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</si>
  <si>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</si>
  <si>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</si>
  <si>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</si>
  <si>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</si>
  <si>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</si>
  <si>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 xml:space="preserve">Панели ПВХ </t>
  </si>
  <si>
    <t>Монтаж панелей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</si>
  <si>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</si>
  <si>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</si>
  <si>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</si>
  <si>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</si>
  <si>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</si>
  <si>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</si>
  <si>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</si>
  <si>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</si>
  <si>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</si>
  <si>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</si>
  <si>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</si>
  <si>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</si>
  <si>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Раковина + смеситель</t>
  </si>
  <si>
    <t>Винтовые сваи диам.114мм L=3,5м.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</si>
  <si>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</si>
  <si>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</si>
  <si>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</si>
  <si>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</si>
  <si>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</si>
  <si>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</si>
  <si>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</si>
  <si>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</si>
  <si>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</si>
  <si>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</si>
  <si>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</si>
  <si>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</si>
  <si>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</si>
  <si>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</si>
  <si>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</si>
  <si>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</si>
  <si>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</si>
  <si>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</si>
  <si>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</si>
  <si>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</si>
  <si>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</si>
  <si>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</si>
  <si>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Клей для кафеля и керамогранита</t>
  </si>
  <si>
    <t>Монтаж облицовки потолков</t>
  </si>
  <si>
    <t>%</t>
  </si>
  <si>
    <t>Раздел 8. Лестницы, крыльца</t>
  </si>
  <si>
    <t>Монтаж металлоконструкций крыльц</t>
  </si>
  <si>
    <t xml:space="preserve">Раздел 9. Инженерные сети </t>
  </si>
  <si>
    <t>Раздел 10. Проектные работы</t>
  </si>
  <si>
    <t>Раздел 12. Аренда автокрана</t>
  </si>
  <si>
    <t>Раздел 14. Мебель:</t>
  </si>
  <si>
    <t>шт.</t>
  </si>
  <si>
    <t>Стул кухонный</t>
  </si>
  <si>
    <t>Стол-тумба кухонный напольный 800х600мм</t>
  </si>
  <si>
    <t>рейс</t>
  </si>
  <si>
    <t>Раздел 15. Доставка</t>
  </si>
  <si>
    <t>фундамент силами Заказчика</t>
  </si>
  <si>
    <t>Внутренняя высота</t>
  </si>
  <si>
    <t>Подсистема под  панели</t>
  </si>
  <si>
    <t>Кафель для пола</t>
  </si>
  <si>
    <t>Панели ПВХ с комплектующими для подсистемы</t>
  </si>
  <si>
    <t>тн</t>
  </si>
  <si>
    <t>Неучтенные работы и материалы (около 1 %)</t>
  </si>
  <si>
    <t>Электроконветор 1,5 кВт с термостатом</t>
  </si>
  <si>
    <t>ООО «Велесстрой»</t>
  </si>
  <si>
    <t>г. Москва ул. Кастанаевская</t>
  </si>
  <si>
    <t>Устройство цоколя</t>
  </si>
  <si>
    <t>Конструкции металлические крыльц 0,4тн</t>
  </si>
  <si>
    <t>Водонагреватель проточный 3кВт</t>
  </si>
  <si>
    <t>Стол угловой с тумбой правый, 1500*900*750</t>
  </si>
  <si>
    <t>Электрическая завеса</t>
  </si>
  <si>
    <t xml:space="preserve">Вентиляция (материалы) </t>
  </si>
  <si>
    <t>Вентиляция (монтаж)</t>
  </si>
  <si>
    <t>Раздел 13. Дополнительное оборудование:</t>
  </si>
  <si>
    <t>«ЖК Кастанаевская» Столовая</t>
  </si>
  <si>
    <t>моечная</t>
  </si>
  <si>
    <t>Умывальник-тумба со смесителем</t>
  </si>
  <si>
    <t>Стол обеденный, 800*1200*750</t>
  </si>
  <si>
    <t>Стол обеденный, 800*2200*750</t>
  </si>
  <si>
    <t xml:space="preserve">Стулья </t>
  </si>
  <si>
    <t>Стол для микроволновой печи</t>
  </si>
  <si>
    <t>Холодильник 2-х камерный</t>
  </si>
  <si>
    <t>Электроплита</t>
  </si>
  <si>
    <t>Микроволновая печь</t>
  </si>
  <si>
    <t>Сплит-система до 30м2</t>
  </si>
  <si>
    <t>Сплит-система до 20м2</t>
  </si>
  <si>
    <t>100/150/150</t>
  </si>
  <si>
    <t>Модуль без 1 длинной стороны, 6,229*2,434м, 100/150/150</t>
  </si>
  <si>
    <t>Модуль без 2 длинных сторон, 6,229*2,434м, 100/150/150</t>
  </si>
  <si>
    <t>Раздел 11. Накладные расходы (услуги шеф.-монтажа)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</si>
</sst>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44" fontId="6" fillId="3" borderId="1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wrapText="1"/>
    </xf>
    <xf numFmtId="0" fontId="13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1" fillId="2" borderId="1" xfId="1" applyFont="1" applyFill="1" applyBorder="1" applyAlignment="1">
      <alignment horizontal="center" wrapText="1"/>
    </xf>
    <xf numFmtId="0" fontId="13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1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1" fillId="4" borderId="1" xfId="1" applyFont="1" applyFill="1" applyBorder="1" applyAlignment="1">
      <alignment horizontal="right" wrapText="1"/>
    </xf>
    <xf numFmtId="0" fontId="8" fillId="4" borderId="2" xfId="0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44" fontId="8" fillId="4" borderId="1" xfId="1" applyFont="1" applyFill="1" applyBorder="1" applyAlignment="1">
      <alignment horizontal="right" wrapText="1"/>
    </xf>
    <xf numFmtId="44" fontId="14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44" fontId="4" fillId="4" borderId="1" xfId="1" applyFont="1" applyFill="1" applyBorder="1" applyAlignment="1">
      <alignment horizontal="center" wrapText="1"/>
    </xf>
    <xf numFmtId="44" fontId="15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1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6" fillId="0" borderId="1" xfId="0" applyFont="1" applyFill="1" applyBorder="1" applyAlignment="1">
      <alignment horizontal="center" wrapText="1"/>
    </xf>
    <xf numFmtId="44" fontId="16" fillId="0" borderId="1" xfId="1" applyFont="1" applyFill="1" applyBorder="1" applyAlignment="1">
      <alignment wrapText="1"/>
    </xf>
    <xf numFmtId="44" fontId="17" fillId="0" borderId="1" xfId="1" applyFont="1" applyFill="1" applyBorder="1" applyAlignment="1">
      <alignment horizont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0" fillId="2" borderId="4" xfId="1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tabSelected="1" zoomScaleNormal="100" workbookViewId="0">
      <pane ySplit="8" topLeftCell="A90" activePane="bottomLeft" state="frozen"/>
      <selection pane="bottomLeft" activeCell="F106" sqref="F106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12.140625" bestFit="1" customWidth="1"/>
  </cols>
  <sheetData>
    <row r="1" spans="1:6" ht="31.5" customHeight="1" x14ac:dyDescent="0.25">
      <c r="A1" s="72" t="str">
        <f>C2</f>
        <v>«ЖК Кастанаевская» Столовая</v>
      </c>
      <c r="B1" s="72"/>
      <c r="C1" s="72"/>
      <c r="D1" s="71" t="str">
        <f>C3</f>
        <v>ООО «Велесстрой»</v>
      </c>
      <c r="E1" s="71"/>
      <c r="F1" s="71"/>
    </row>
    <row r="2" spans="1:6" x14ac:dyDescent="0.25">
      <c r="A2" s="38">
        <v>1</v>
      </c>
      <c r="B2" s="39" t="s">
        <v>2</v>
      </c>
      <c r="C2" s="73" t="s">
        <v>106</v>
      </c>
      <c r="D2" s="73"/>
      <c r="E2" s="73"/>
      <c r="F2" s="73"/>
    </row>
    <row r="3" spans="1:6" x14ac:dyDescent="0.25">
      <c r="A3" s="38">
        <v>2</v>
      </c>
      <c r="B3" s="39" t="s">
        <v>0</v>
      </c>
      <c r="C3" s="73" t="s">
        <v>96</v>
      </c>
      <c r="D3" s="73"/>
      <c r="E3" s="73"/>
      <c r="F3" s="73"/>
    </row>
    <row r="4" spans="1:6" ht="14.25" customHeight="1" x14ac:dyDescent="0.25">
      <c r="A4" s="38">
        <v>3</v>
      </c>
      <c r="B4" s="39" t="s">
        <v>1</v>
      </c>
      <c r="C4" s="75" t="s">
        <v>97</v>
      </c>
      <c r="D4" s="76"/>
      <c r="E4" s="76"/>
      <c r="F4" s="77"/>
    </row>
    <row r="5" spans="1:6" ht="15.75" customHeight="1" x14ac:dyDescent="0.25">
      <c r="A5" s="38">
        <v>4</v>
      </c>
      <c r="B5" s="39" t="s">
        <v>89</v>
      </c>
      <c r="C5" s="75">
        <v>2.2000000000000002</v>
      </c>
      <c r="D5" s="76"/>
      <c r="E5" s="76"/>
      <c r="F5" s="77"/>
    </row>
    <row r="6" spans="1:6" ht="17.25" customHeight="1" x14ac:dyDescent="0.25">
      <c r="A6" s="38">
        <v>5</v>
      </c>
      <c r="B6" s="39" t="s">
        <v>48</v>
      </c>
      <c r="C6" s="73" t="s">
        <v>118</v>
      </c>
      <c r="D6" s="73"/>
      <c r="E6" s="42" t="s">
        <v>47</v>
      </c>
      <c r="F6" s="58">
        <f>26.925*6.229</f>
        <v>167.715825</v>
      </c>
    </row>
    <row r="7" spans="1:6" x14ac:dyDescent="0.25">
      <c r="A7" s="38">
        <v>6</v>
      </c>
      <c r="B7" s="39" t="s">
        <v>3</v>
      </c>
      <c r="C7" s="75" t="s">
        <v>88</v>
      </c>
      <c r="D7" s="76"/>
      <c r="E7" s="76"/>
      <c r="F7" s="77"/>
    </row>
    <row r="8" spans="1:6" ht="37.5" x14ac:dyDescent="0.25">
      <c r="A8" s="38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 x14ac:dyDescent="0.25">
      <c r="A9" s="38">
        <v>8</v>
      </c>
      <c r="B9" s="5" t="s">
        <v>34</v>
      </c>
      <c r="C9" s="4"/>
      <c r="D9" s="4"/>
      <c r="E9" s="4"/>
      <c r="F9" s="4"/>
    </row>
    <row r="10" spans="1:6" x14ac:dyDescent="0.25">
      <c r="A10" s="38">
        <v>9</v>
      </c>
      <c r="B10" s="6" t="s">
        <v>28</v>
      </c>
      <c r="C10" s="13" t="s">
        <v>29</v>
      </c>
      <c r="D10" s="13">
        <v>30</v>
      </c>
      <c r="E10" s="10">
        <v>170</v>
      </c>
      <c r="F10" s="9"/>
    </row>
    <row r="11" spans="1:6" x14ac:dyDescent="0.25">
      <c r="A11" s="38">
        <v>10</v>
      </c>
      <c r="B11" s="6" t="s">
        <v>51</v>
      </c>
      <c r="C11" s="13" t="s">
        <v>13</v>
      </c>
      <c r="D11" s="13">
        <v>24</v>
      </c>
      <c r="E11" s="10">
        <v>5500</v>
      </c>
      <c r="F11" s="9"/>
    </row>
    <row r="12" spans="1:6" x14ac:dyDescent="0.25">
      <c r="A12" s="38">
        <v>11</v>
      </c>
      <c r="B12" s="6" t="s">
        <v>30</v>
      </c>
      <c r="C12" s="13" t="s">
        <v>19</v>
      </c>
      <c r="D12" s="13">
        <f>D11*0.5</f>
        <v>12</v>
      </c>
      <c r="E12" s="10">
        <v>2000</v>
      </c>
      <c r="F12" s="9"/>
    </row>
    <row r="13" spans="1:6" x14ac:dyDescent="0.25">
      <c r="A13" s="38">
        <v>12</v>
      </c>
      <c r="B13" s="6" t="s">
        <v>31</v>
      </c>
      <c r="C13" s="13" t="s">
        <v>13</v>
      </c>
      <c r="D13" s="13">
        <f>D11</f>
        <v>24</v>
      </c>
      <c r="E13" s="10">
        <v>250</v>
      </c>
      <c r="F13" s="9"/>
    </row>
    <row r="14" spans="1:6" x14ac:dyDescent="0.25">
      <c r="A14" s="38">
        <v>13</v>
      </c>
      <c r="B14" s="6" t="s">
        <v>52</v>
      </c>
      <c r="C14" s="13" t="s">
        <v>11</v>
      </c>
      <c r="D14" s="51">
        <f>18.4*(26.925*2+6.229*4)/1000</f>
        <v>1.4492944000000001</v>
      </c>
      <c r="E14" s="10">
        <v>7000</v>
      </c>
      <c r="F14" s="9"/>
    </row>
    <row r="15" spans="1:6" x14ac:dyDescent="0.25">
      <c r="A15" s="38">
        <v>14</v>
      </c>
      <c r="B15" s="6" t="s">
        <v>53</v>
      </c>
      <c r="C15" s="13" t="str">
        <f>VLOOKUP(B15,[1]Фундаменты!Прайс,2,FALSE)</f>
        <v>тн</v>
      </c>
      <c r="D15" s="51">
        <f>D14</f>
        <v>1.4492944000000001</v>
      </c>
      <c r="E15" s="10">
        <v>33500</v>
      </c>
      <c r="F15" s="9"/>
    </row>
    <row r="16" spans="1:6" x14ac:dyDescent="0.25">
      <c r="A16" s="38">
        <v>15</v>
      </c>
      <c r="B16" s="7" t="s">
        <v>4</v>
      </c>
      <c r="C16" s="14"/>
      <c r="D16" s="14"/>
      <c r="E16" s="11"/>
      <c r="F16" s="15">
        <f>SUM(F10:F15)</f>
        <v>0</v>
      </c>
    </row>
    <row r="17" spans="1:6" ht="18.75" x14ac:dyDescent="0.25">
      <c r="A17" s="38">
        <v>16</v>
      </c>
      <c r="B17" s="5" t="s">
        <v>22</v>
      </c>
      <c r="C17" s="4"/>
      <c r="D17" s="4"/>
      <c r="E17" s="4"/>
      <c r="F17" s="4"/>
    </row>
    <row r="18" spans="1:6" x14ac:dyDescent="0.25">
      <c r="A18" s="38">
        <v>17</v>
      </c>
      <c r="B18" s="6" t="s">
        <v>54</v>
      </c>
      <c r="C18" s="13" t="s">
        <v>56</v>
      </c>
      <c r="D18" s="13">
        <v>11</v>
      </c>
      <c r="E18" s="10">
        <v>2000</v>
      </c>
      <c r="F18" s="9"/>
    </row>
    <row r="19" spans="1:6" x14ac:dyDescent="0.25">
      <c r="A19" s="38">
        <v>18</v>
      </c>
      <c r="B19" s="6" t="s">
        <v>55</v>
      </c>
      <c r="C19" s="13" t="s">
        <v>56</v>
      </c>
      <c r="D19" s="13">
        <v>11</v>
      </c>
      <c r="E19" s="10">
        <v>2000</v>
      </c>
      <c r="F19" s="9"/>
    </row>
    <row r="20" spans="1:6" x14ac:dyDescent="0.25">
      <c r="A20" s="38">
        <v>19</v>
      </c>
      <c r="B20" s="6" t="s">
        <v>119</v>
      </c>
      <c r="C20" s="13" t="s">
        <v>56</v>
      </c>
      <c r="D20" s="13">
        <v>2</v>
      </c>
      <c r="E20" s="10">
        <v>130680</v>
      </c>
      <c r="F20" s="9">
        <f t="shared" ref="F20:F22" si="0">D20*E20</f>
        <v>261360</v>
      </c>
    </row>
    <row r="21" spans="1:6" x14ac:dyDescent="0.25">
      <c r="A21" s="38">
        <v>20</v>
      </c>
      <c r="B21" s="6" t="s">
        <v>120</v>
      </c>
      <c r="C21" s="13" t="s">
        <v>56</v>
      </c>
      <c r="D21" s="13">
        <v>9</v>
      </c>
      <c r="E21" s="10">
        <v>111375</v>
      </c>
      <c r="F21" s="9">
        <f t="shared" si="0"/>
        <v>1002375</v>
      </c>
    </row>
    <row r="22" spans="1:6" x14ac:dyDescent="0.25">
      <c r="A22" s="38">
        <v>21</v>
      </c>
      <c r="B22" s="6" t="s">
        <v>98</v>
      </c>
      <c r="C22" s="13" t="s">
        <v>12</v>
      </c>
      <c r="D22" s="52">
        <f>(26.925*2+6.229*2)*0.7</f>
        <v>46.415600000000005</v>
      </c>
      <c r="E22" s="10">
        <v>400</v>
      </c>
      <c r="F22" s="9">
        <f t="shared" si="0"/>
        <v>18566.240000000002</v>
      </c>
    </row>
    <row r="23" spans="1:6" x14ac:dyDescent="0.25">
      <c r="A23" s="38">
        <v>22</v>
      </c>
      <c r="B23" s="7" t="s">
        <v>4</v>
      </c>
      <c r="C23" s="14"/>
      <c r="D23" s="14"/>
      <c r="E23" s="11"/>
      <c r="F23" s="15">
        <f>SUM(F18:F22)</f>
        <v>1282301.24</v>
      </c>
    </row>
    <row r="24" spans="1:6" ht="15.75" x14ac:dyDescent="0.25">
      <c r="A24" s="38">
        <v>23</v>
      </c>
      <c r="B24" s="5" t="s">
        <v>23</v>
      </c>
      <c r="C24" s="12"/>
      <c r="D24" s="12"/>
      <c r="E24" s="8"/>
      <c r="F24" s="9"/>
    </row>
    <row r="25" spans="1:6" x14ac:dyDescent="0.25">
      <c r="A25" s="38">
        <v>24</v>
      </c>
      <c r="B25" s="6" t="s">
        <v>57</v>
      </c>
      <c r="C25" s="13" t="str">
        <f>VLOOKUP(B25,[2]Кровля!Прайс,2,FALSE)</f>
        <v>тн</v>
      </c>
      <c r="D25" s="52">
        <f>0.015*F6</f>
        <v>2.5157373750000001</v>
      </c>
      <c r="E25" s="10">
        <v>42000</v>
      </c>
      <c r="F25" s="9">
        <f>D25*E25</f>
        <v>105660.96975</v>
      </c>
    </row>
    <row r="26" spans="1:6" x14ac:dyDescent="0.25">
      <c r="A26" s="38">
        <v>25</v>
      </c>
      <c r="B26" s="6" t="s">
        <v>45</v>
      </c>
      <c r="C26" s="13" t="str">
        <f>VLOOKUP(B26,[2]Кровля!Прайс,2,FALSE)</f>
        <v>м2</v>
      </c>
      <c r="D26" s="52">
        <f>1.1*F6</f>
        <v>184.48740750000002</v>
      </c>
      <c r="E26" s="10">
        <v>370</v>
      </c>
      <c r="F26" s="9">
        <f t="shared" ref="F26:F38" si="1">D26*E26</f>
        <v>68260.340775000004</v>
      </c>
    </row>
    <row r="27" spans="1:6" x14ac:dyDescent="0.25">
      <c r="A27" s="38">
        <v>26</v>
      </c>
      <c r="B27" s="6" t="s">
        <v>58</v>
      </c>
      <c r="C27" s="13" t="str">
        <f>VLOOKUP(B27,[2]Кровля!Прайс,2,FALSE)</f>
        <v>м3</v>
      </c>
      <c r="D27" s="52">
        <f>D26*0.04/4</f>
        <v>1.8448740750000001</v>
      </c>
      <c r="E27" s="10">
        <v>6500</v>
      </c>
      <c r="F27" s="9">
        <f t="shared" si="1"/>
        <v>11991.6814875</v>
      </c>
    </row>
    <row r="28" spans="1:6" x14ac:dyDescent="0.25">
      <c r="A28" s="38">
        <v>27</v>
      </c>
      <c r="B28" s="6" t="s">
        <v>59</v>
      </c>
      <c r="C28" s="13" t="s">
        <v>60</v>
      </c>
      <c r="D28" s="52">
        <f>27.5*2</f>
        <v>55</v>
      </c>
      <c r="E28" s="10">
        <v>650</v>
      </c>
      <c r="F28" s="9">
        <f t="shared" si="1"/>
        <v>35750</v>
      </c>
    </row>
    <row r="29" spans="1:6" x14ac:dyDescent="0.25">
      <c r="A29" s="38">
        <v>28</v>
      </c>
      <c r="B29" s="6" t="s">
        <v>61</v>
      </c>
      <c r="C29" s="13" t="str">
        <f>VLOOKUP(B29,[2]Кровля!Прайс,2,FALSE)</f>
        <v>тн</v>
      </c>
      <c r="D29" s="52">
        <f>D25</f>
        <v>2.5157373750000001</v>
      </c>
      <c r="E29" s="10">
        <v>7000</v>
      </c>
      <c r="F29" s="9"/>
    </row>
    <row r="30" spans="1:6" x14ac:dyDescent="0.25">
      <c r="A30" s="38">
        <v>29</v>
      </c>
      <c r="B30" s="6" t="s">
        <v>62</v>
      </c>
      <c r="C30" s="13" t="str">
        <f>VLOOKUP(B30,[2]Кровля!Прайс,2,FALSE)</f>
        <v>м2</v>
      </c>
      <c r="D30" s="52">
        <f>D26</f>
        <v>184.48740750000002</v>
      </c>
      <c r="E30" s="10">
        <v>250</v>
      </c>
      <c r="F30" s="9"/>
    </row>
    <row r="31" spans="1:6" x14ac:dyDescent="0.25">
      <c r="A31" s="38">
        <v>30</v>
      </c>
      <c r="B31" s="6" t="s">
        <v>63</v>
      </c>
      <c r="C31" s="13" t="str">
        <f>VLOOKUP(B31,[2]Кровля!Прайс,2,FALSE)</f>
        <v>м</v>
      </c>
      <c r="D31" s="52">
        <f>D28</f>
        <v>55</v>
      </c>
      <c r="E31" s="10">
        <f>E28*40%</f>
        <v>260</v>
      </c>
      <c r="F31" s="9"/>
    </row>
    <row r="32" spans="1:6" x14ac:dyDescent="0.25">
      <c r="A32" s="38">
        <v>31</v>
      </c>
      <c r="B32" s="6" t="s">
        <v>64</v>
      </c>
      <c r="C32" s="13" t="str">
        <f>VLOOKUP(B32,[1]Кровля!Прайс,2,FALSE)</f>
        <v>шт</v>
      </c>
      <c r="D32" s="52">
        <v>8</v>
      </c>
      <c r="E32" s="10">
        <v>250</v>
      </c>
      <c r="F32" s="9"/>
    </row>
    <row r="33" spans="1:7" x14ac:dyDescent="0.25">
      <c r="A33" s="38">
        <v>32</v>
      </c>
      <c r="B33" s="6" t="s">
        <v>65</v>
      </c>
      <c r="C33" s="13" t="str">
        <f>VLOOKUP(B33,[1]Кровля!Прайс,2,FALSE)</f>
        <v>шт</v>
      </c>
      <c r="D33" s="52">
        <f>D32</f>
        <v>8</v>
      </c>
      <c r="E33" s="10">
        <v>360</v>
      </c>
      <c r="F33" s="9">
        <f t="shared" si="1"/>
        <v>2880</v>
      </c>
    </row>
    <row r="34" spans="1:7" x14ac:dyDescent="0.25">
      <c r="A34" s="38">
        <v>33</v>
      </c>
      <c r="B34" s="6" t="s">
        <v>66</v>
      </c>
      <c r="C34" s="13" t="str">
        <f>VLOOKUP(B34,[1]Кровля!Прайс,2,FALSE)</f>
        <v>м</v>
      </c>
      <c r="D34" s="52">
        <v>27.5</v>
      </c>
      <c r="E34" s="10">
        <v>120</v>
      </c>
      <c r="F34" s="9"/>
    </row>
    <row r="35" spans="1:7" x14ac:dyDescent="0.25">
      <c r="A35" s="38">
        <v>34</v>
      </c>
      <c r="B35" s="6" t="s">
        <v>67</v>
      </c>
      <c r="C35" s="13" t="s">
        <v>12</v>
      </c>
      <c r="D35" s="52">
        <f>D34*0.4</f>
        <v>11</v>
      </c>
      <c r="E35" s="10">
        <v>480</v>
      </c>
      <c r="F35" s="9">
        <f t="shared" si="1"/>
        <v>5280</v>
      </c>
    </row>
    <row r="36" spans="1:7" x14ac:dyDescent="0.25">
      <c r="A36" s="38">
        <v>35</v>
      </c>
      <c r="B36" s="6" t="s">
        <v>68</v>
      </c>
      <c r="C36" s="13" t="str">
        <f>VLOOKUP(B36,[1]Кровля!Прайс,2,FALSE)</f>
        <v>м2</v>
      </c>
      <c r="D36" s="52">
        <f>D34*2*0.8</f>
        <v>44</v>
      </c>
      <c r="E36" s="10">
        <v>180</v>
      </c>
      <c r="F36" s="9"/>
    </row>
    <row r="37" spans="1:7" x14ac:dyDescent="0.25">
      <c r="A37" s="38">
        <v>36</v>
      </c>
      <c r="B37" s="6" t="s">
        <v>69</v>
      </c>
      <c r="C37" s="13" t="str">
        <f>VLOOKUP(B37,[1]Кровля!Прайс,2,FALSE)</f>
        <v>м2</v>
      </c>
      <c r="D37" s="52">
        <f>D36</f>
        <v>44</v>
      </c>
      <c r="E37" s="10">
        <v>353</v>
      </c>
      <c r="F37" s="9">
        <f t="shared" si="1"/>
        <v>15532</v>
      </c>
    </row>
    <row r="38" spans="1:7" x14ac:dyDescent="0.25">
      <c r="A38" s="38">
        <v>37</v>
      </c>
      <c r="B38" s="6" t="s">
        <v>70</v>
      </c>
      <c r="C38" s="13" t="str">
        <f>VLOOKUP(B38,[1]Кровля!Прайс,2,FALSE)</f>
        <v>компл</v>
      </c>
      <c r="D38" s="52">
        <f>D26</f>
        <v>184.48740750000002</v>
      </c>
      <c r="E38" s="10">
        <v>75</v>
      </c>
      <c r="F38" s="9">
        <f t="shared" si="1"/>
        <v>13836.555562500002</v>
      </c>
    </row>
    <row r="39" spans="1:7" x14ac:dyDescent="0.25">
      <c r="A39" s="38">
        <v>38</v>
      </c>
      <c r="B39" s="7" t="s">
        <v>4</v>
      </c>
      <c r="C39" s="14"/>
      <c r="D39" s="14"/>
      <c r="E39" s="11"/>
      <c r="F39" s="15">
        <f>SUM(F25:F38)</f>
        <v>259191.547575</v>
      </c>
      <c r="G39" s="54"/>
    </row>
    <row r="40" spans="1:7" ht="21.75" customHeight="1" x14ac:dyDescent="0.25">
      <c r="A40" s="38">
        <v>39</v>
      </c>
      <c r="B40" s="5" t="s">
        <v>38</v>
      </c>
      <c r="C40" s="12"/>
      <c r="D40" s="12"/>
      <c r="E40" s="8"/>
      <c r="F40" s="9"/>
    </row>
    <row r="41" spans="1:7" x14ac:dyDescent="0.25">
      <c r="A41" s="38">
        <v>40</v>
      </c>
      <c r="B41" s="6" t="s">
        <v>16</v>
      </c>
      <c r="C41" s="13" t="s">
        <v>13</v>
      </c>
      <c r="D41" s="13">
        <v>1</v>
      </c>
      <c r="E41" s="10">
        <v>5000</v>
      </c>
      <c r="F41" s="9">
        <f t="shared" ref="F41:F42" si="2">D41*E41</f>
        <v>5000</v>
      </c>
    </row>
    <row r="42" spans="1:7" x14ac:dyDescent="0.25">
      <c r="A42" s="38">
        <v>41</v>
      </c>
      <c r="B42" s="6" t="s">
        <v>17</v>
      </c>
      <c r="C42" s="13" t="s">
        <v>13</v>
      </c>
      <c r="D42" s="13">
        <v>6</v>
      </c>
      <c r="E42" s="10">
        <v>11500</v>
      </c>
      <c r="F42" s="9">
        <f t="shared" si="2"/>
        <v>69000</v>
      </c>
    </row>
    <row r="43" spans="1:7" x14ac:dyDescent="0.25">
      <c r="A43" s="38">
        <v>42</v>
      </c>
      <c r="B43" s="6" t="s">
        <v>27</v>
      </c>
      <c r="C43" s="13" t="s">
        <v>13</v>
      </c>
      <c r="D43" s="13">
        <v>7</v>
      </c>
      <c r="E43" s="10">
        <v>1000</v>
      </c>
      <c r="F43" s="9"/>
    </row>
    <row r="44" spans="1:7" x14ac:dyDescent="0.25">
      <c r="A44" s="38">
        <v>43</v>
      </c>
      <c r="B44" s="7" t="s">
        <v>4</v>
      </c>
      <c r="C44" s="14"/>
      <c r="D44" s="14"/>
      <c r="E44" s="11"/>
      <c r="F44" s="15">
        <f>SUM(F41:F43)</f>
        <v>74000</v>
      </c>
    </row>
    <row r="45" spans="1:7" ht="15.75" x14ac:dyDescent="0.25">
      <c r="A45" s="38">
        <v>44</v>
      </c>
      <c r="B45" s="5" t="s">
        <v>24</v>
      </c>
      <c r="C45" s="12"/>
      <c r="D45" s="12"/>
      <c r="E45" s="8"/>
      <c r="F45" s="9"/>
    </row>
    <row r="46" spans="1:7" x14ac:dyDescent="0.25">
      <c r="A46" s="38">
        <v>45</v>
      </c>
      <c r="B46" s="6" t="s">
        <v>15</v>
      </c>
      <c r="C46" s="13" t="s">
        <v>12</v>
      </c>
      <c r="D46" s="52">
        <f>(6*2+2.35*2+2*4+1.2*2+1.8)*C5</f>
        <v>63.580000000000005</v>
      </c>
      <c r="E46" s="10">
        <v>1100</v>
      </c>
      <c r="F46" s="9">
        <f>D46*E46</f>
        <v>69938</v>
      </c>
    </row>
    <row r="47" spans="1:7" x14ac:dyDescent="0.25">
      <c r="A47" s="38">
        <v>46</v>
      </c>
      <c r="B47" s="6" t="s">
        <v>18</v>
      </c>
      <c r="C47" s="13" t="s">
        <v>12</v>
      </c>
      <c r="D47" s="52">
        <f>D46</f>
        <v>63.580000000000005</v>
      </c>
      <c r="E47" s="10">
        <v>120</v>
      </c>
      <c r="F47" s="9"/>
    </row>
    <row r="48" spans="1:7" x14ac:dyDescent="0.25">
      <c r="A48" s="38">
        <v>47</v>
      </c>
      <c r="B48" s="7" t="s">
        <v>4</v>
      </c>
      <c r="C48" s="14"/>
      <c r="D48" s="14"/>
      <c r="E48" s="11"/>
      <c r="F48" s="15">
        <f>SUM(F46:F47)</f>
        <v>69938</v>
      </c>
    </row>
    <row r="49" spans="1:7" ht="15.75" x14ac:dyDescent="0.25">
      <c r="A49" s="38">
        <v>48</v>
      </c>
      <c r="B49" s="5" t="s">
        <v>40</v>
      </c>
      <c r="C49" s="12"/>
      <c r="D49" s="12"/>
      <c r="E49" s="8"/>
      <c r="F49" s="9"/>
    </row>
    <row r="50" spans="1:7" x14ac:dyDescent="0.25">
      <c r="A50" s="38">
        <v>49</v>
      </c>
      <c r="B50" s="17" t="s">
        <v>35</v>
      </c>
      <c r="C50" s="13"/>
      <c r="D50" s="13"/>
      <c r="E50" s="10"/>
      <c r="F50" s="9"/>
    </row>
    <row r="51" spans="1:7" x14ac:dyDescent="0.25">
      <c r="A51" s="38">
        <v>50</v>
      </c>
      <c r="B51" s="6" t="s">
        <v>36</v>
      </c>
      <c r="C51" s="13" t="s">
        <v>12</v>
      </c>
      <c r="D51" s="13">
        <f>(2.5*2+2*2)*C5</f>
        <v>19.8</v>
      </c>
      <c r="E51" s="10">
        <v>180</v>
      </c>
      <c r="F51" s="9">
        <f t="shared" ref="F51:F52" si="3">D51*E51</f>
        <v>3564</v>
      </c>
      <c r="G51" t="s">
        <v>107</v>
      </c>
    </row>
    <row r="52" spans="1:7" x14ac:dyDescent="0.25">
      <c r="A52" s="38">
        <v>51</v>
      </c>
      <c r="B52" s="6" t="s">
        <v>90</v>
      </c>
      <c r="C52" s="13" t="s">
        <v>12</v>
      </c>
      <c r="D52" s="13">
        <f>D51</f>
        <v>19.8</v>
      </c>
      <c r="E52" s="10">
        <v>95</v>
      </c>
      <c r="F52" s="9">
        <f t="shared" si="3"/>
        <v>1881</v>
      </c>
    </row>
    <row r="53" spans="1:7" x14ac:dyDescent="0.25">
      <c r="A53" s="38">
        <v>52</v>
      </c>
      <c r="B53" s="6" t="s">
        <v>37</v>
      </c>
      <c r="C53" s="13" t="s">
        <v>12</v>
      </c>
      <c r="D53" s="13">
        <f>D52</f>
        <v>19.8</v>
      </c>
      <c r="E53" s="10">
        <v>150</v>
      </c>
      <c r="F53" s="9"/>
    </row>
    <row r="54" spans="1:7" x14ac:dyDescent="0.25">
      <c r="A54" s="38">
        <v>53</v>
      </c>
      <c r="B54" s="17" t="s">
        <v>32</v>
      </c>
      <c r="C54" s="13"/>
      <c r="D54" s="13"/>
      <c r="E54" s="10"/>
      <c r="F54" s="9"/>
    </row>
    <row r="55" spans="1:7" x14ac:dyDescent="0.25">
      <c r="A55" s="38">
        <v>54</v>
      </c>
      <c r="B55" s="6" t="s">
        <v>25</v>
      </c>
      <c r="C55" s="13" t="s">
        <v>12</v>
      </c>
      <c r="D55" s="52">
        <f>D56</f>
        <v>153.68</v>
      </c>
      <c r="E55" s="10">
        <v>100</v>
      </c>
      <c r="F55" s="9"/>
    </row>
    <row r="56" spans="1:7" x14ac:dyDescent="0.25">
      <c r="A56" s="38">
        <v>55</v>
      </c>
      <c r="B56" s="6" t="s">
        <v>46</v>
      </c>
      <c r="C56" s="13" t="s">
        <v>12</v>
      </c>
      <c r="D56" s="52">
        <f>123.8+2.22+1.27+2.71+21.99+1.69</f>
        <v>153.68</v>
      </c>
      <c r="E56" s="10">
        <v>350</v>
      </c>
      <c r="F56" s="9">
        <f t="shared" ref="F56:F61" si="4">D56*E56</f>
        <v>53788</v>
      </c>
    </row>
    <row r="57" spans="1:7" x14ac:dyDescent="0.25">
      <c r="A57" s="38">
        <v>56</v>
      </c>
      <c r="B57" s="6" t="s">
        <v>71</v>
      </c>
      <c r="C57" s="13" t="str">
        <f>VLOOKUP(B57,[1]Отделка!Прайс,2,FALSE)</f>
        <v>м2</v>
      </c>
      <c r="D57" s="13">
        <f>1.27+2.71</f>
        <v>3.98</v>
      </c>
      <c r="E57" s="10">
        <v>360</v>
      </c>
      <c r="F57" s="9"/>
    </row>
    <row r="58" spans="1:7" x14ac:dyDescent="0.25">
      <c r="A58" s="38">
        <v>57</v>
      </c>
      <c r="B58" s="6" t="s">
        <v>72</v>
      </c>
      <c r="C58" s="13" t="str">
        <f>VLOOKUP(B58,[1]Отделка!Прайс,2,FALSE)</f>
        <v>м2</v>
      </c>
      <c r="D58" s="13">
        <f>D57</f>
        <v>3.98</v>
      </c>
      <c r="E58" s="10">
        <v>635.85</v>
      </c>
      <c r="F58" s="9">
        <f t="shared" si="4"/>
        <v>2530.683</v>
      </c>
    </row>
    <row r="59" spans="1:7" x14ac:dyDescent="0.25">
      <c r="A59" s="38">
        <v>58</v>
      </c>
      <c r="B59" s="6" t="s">
        <v>73</v>
      </c>
      <c r="C59" s="13" t="str">
        <f>VLOOKUP(B59,[1]Отделка!Прайс,2,FALSE)</f>
        <v>м2</v>
      </c>
      <c r="D59" s="13">
        <v>5</v>
      </c>
      <c r="E59" s="10">
        <v>450</v>
      </c>
      <c r="F59" s="9"/>
      <c r="G59" t="s">
        <v>107</v>
      </c>
    </row>
    <row r="60" spans="1:7" x14ac:dyDescent="0.25">
      <c r="A60" s="38">
        <v>59</v>
      </c>
      <c r="B60" s="6" t="s">
        <v>91</v>
      </c>
      <c r="C60" s="13" t="s">
        <v>12</v>
      </c>
      <c r="D60" s="13">
        <f>D59</f>
        <v>5</v>
      </c>
      <c r="E60" s="10">
        <v>600</v>
      </c>
      <c r="F60" s="9">
        <f t="shared" si="4"/>
        <v>3000</v>
      </c>
    </row>
    <row r="61" spans="1:7" x14ac:dyDescent="0.25">
      <c r="A61" s="38">
        <v>60</v>
      </c>
      <c r="B61" s="6" t="s">
        <v>74</v>
      </c>
      <c r="C61" s="13" t="str">
        <f>VLOOKUP(B61,[1]Отделка!Прайс,2,FALSE)</f>
        <v>кг</v>
      </c>
      <c r="D61" s="13">
        <f>D59*5</f>
        <v>25</v>
      </c>
      <c r="E61" s="10">
        <v>11.7</v>
      </c>
      <c r="F61" s="9">
        <f t="shared" si="4"/>
        <v>292.5</v>
      </c>
    </row>
    <row r="62" spans="1:7" ht="15.75" x14ac:dyDescent="0.25">
      <c r="A62" s="38">
        <v>61</v>
      </c>
      <c r="B62" s="17" t="s">
        <v>39</v>
      </c>
      <c r="C62" s="12"/>
      <c r="D62" s="12"/>
      <c r="E62" s="8"/>
      <c r="F62" s="9"/>
    </row>
    <row r="63" spans="1:7" ht="18" customHeight="1" x14ac:dyDescent="0.25">
      <c r="A63" s="38">
        <v>62</v>
      </c>
      <c r="B63" s="6" t="s">
        <v>75</v>
      </c>
      <c r="C63" s="13" t="str">
        <f>VLOOKUP(B63,[1]Отделка!Прайс,2,FALSE)</f>
        <v>м2</v>
      </c>
      <c r="D63" s="13">
        <f>D64</f>
        <v>0</v>
      </c>
      <c r="E63" s="10">
        <v>180</v>
      </c>
      <c r="F63" s="9">
        <f>D63*E63</f>
        <v>0</v>
      </c>
    </row>
    <row r="64" spans="1:7" x14ac:dyDescent="0.25">
      <c r="A64" s="38">
        <v>63</v>
      </c>
      <c r="B64" s="6" t="s">
        <v>92</v>
      </c>
      <c r="C64" s="13" t="s">
        <v>12</v>
      </c>
      <c r="D64" s="13">
        <v>0</v>
      </c>
      <c r="E64" s="10">
        <v>275</v>
      </c>
      <c r="F64" s="9">
        <f t="shared" ref="F64" si="5">D64*E64</f>
        <v>0</v>
      </c>
    </row>
    <row r="65" spans="1:6" x14ac:dyDescent="0.25">
      <c r="A65" s="38">
        <v>64</v>
      </c>
      <c r="B65" s="7" t="s">
        <v>4</v>
      </c>
      <c r="C65" s="14"/>
      <c r="D65" s="14"/>
      <c r="E65" s="11"/>
      <c r="F65" s="15">
        <f>SUM(F50:F64)</f>
        <v>65056.182999999997</v>
      </c>
    </row>
    <row r="66" spans="1:6" ht="15.75" x14ac:dyDescent="0.25">
      <c r="A66" s="38">
        <v>65</v>
      </c>
      <c r="B66" s="5" t="s">
        <v>77</v>
      </c>
      <c r="C66" s="55"/>
      <c r="D66" s="55"/>
      <c r="E66" s="56"/>
      <c r="F66" s="57"/>
    </row>
    <row r="67" spans="1:6" x14ac:dyDescent="0.25">
      <c r="A67" s="38">
        <v>66</v>
      </c>
      <c r="B67" s="6" t="s">
        <v>78</v>
      </c>
      <c r="C67" s="13" t="str">
        <f>VLOOKUP(B67,'[1]Лестницы, крыльца'!Прайс,2,FALSE)</f>
        <v>тн</v>
      </c>
      <c r="D67" s="13">
        <f>D68</f>
        <v>1.2000000000000002</v>
      </c>
      <c r="E67" s="10">
        <v>11000</v>
      </c>
      <c r="F67" s="9"/>
    </row>
    <row r="68" spans="1:6" x14ac:dyDescent="0.25">
      <c r="A68" s="38">
        <v>67</v>
      </c>
      <c r="B68" s="6" t="s">
        <v>99</v>
      </c>
      <c r="C68" s="13" t="s">
        <v>93</v>
      </c>
      <c r="D68" s="13">
        <f>0.4*3</f>
        <v>1.2000000000000002</v>
      </c>
      <c r="E68" s="10">
        <v>77000</v>
      </c>
      <c r="F68" s="9">
        <f>D68*E68</f>
        <v>92400.000000000015</v>
      </c>
    </row>
    <row r="69" spans="1:6" x14ac:dyDescent="0.25">
      <c r="A69" s="38">
        <v>68</v>
      </c>
      <c r="B69" s="7" t="s">
        <v>4</v>
      </c>
      <c r="C69" s="13"/>
      <c r="D69" s="14"/>
      <c r="E69" s="11"/>
      <c r="F69" s="15">
        <f>SUM(F67:F68)</f>
        <v>92400.000000000015</v>
      </c>
    </row>
    <row r="70" spans="1:6" ht="15.75" x14ac:dyDescent="0.25">
      <c r="A70" s="38">
        <v>69</v>
      </c>
      <c r="B70" s="23" t="s">
        <v>14</v>
      </c>
      <c r="C70" s="24"/>
      <c r="D70" s="24"/>
      <c r="E70" s="25"/>
      <c r="F70" s="26">
        <f>SUM(F10:F69)/2</f>
        <v>1842886.9705750004</v>
      </c>
    </row>
    <row r="71" spans="1:6" ht="15.75" x14ac:dyDescent="0.25">
      <c r="A71" s="38">
        <v>70</v>
      </c>
      <c r="B71" s="27" t="s">
        <v>94</v>
      </c>
      <c r="C71" s="53" t="s">
        <v>76</v>
      </c>
      <c r="D71" s="53">
        <v>1</v>
      </c>
      <c r="E71" s="28"/>
      <c r="F71" s="29">
        <f>F70*D71%</f>
        <v>18428.869705750003</v>
      </c>
    </row>
    <row r="72" spans="1:6" ht="21" x14ac:dyDescent="0.35">
      <c r="A72" s="38">
        <v>71</v>
      </c>
      <c r="B72" s="30" t="s">
        <v>20</v>
      </c>
      <c r="C72" s="31"/>
      <c r="D72" s="31"/>
      <c r="E72" s="32"/>
      <c r="F72" s="33">
        <f>F70+F71</f>
        <v>1861315.8402807503</v>
      </c>
    </row>
    <row r="73" spans="1:6" ht="15.75" x14ac:dyDescent="0.25">
      <c r="A73" s="38">
        <v>72</v>
      </c>
      <c r="B73" s="19" t="s">
        <v>79</v>
      </c>
      <c r="C73" s="12"/>
      <c r="D73" s="12"/>
      <c r="E73" s="8"/>
      <c r="F73" s="9"/>
    </row>
    <row r="74" spans="1:6" ht="15.75" x14ac:dyDescent="0.25">
      <c r="A74" s="38">
        <v>73</v>
      </c>
      <c r="B74" s="18" t="s">
        <v>41</v>
      </c>
      <c r="C74" s="13" t="s">
        <v>12</v>
      </c>
      <c r="D74" s="59">
        <f>F6</f>
        <v>167.715825</v>
      </c>
      <c r="E74" s="10">
        <v>500</v>
      </c>
      <c r="F74" s="9">
        <f>D74*E74</f>
        <v>83857.912499999991</v>
      </c>
    </row>
    <row r="75" spans="1:6" ht="15.75" x14ac:dyDescent="0.25">
      <c r="A75" s="38">
        <v>74</v>
      </c>
      <c r="B75" s="18" t="s">
        <v>21</v>
      </c>
      <c r="C75" s="13" t="s">
        <v>12</v>
      </c>
      <c r="D75" s="59">
        <f>D74</f>
        <v>167.715825</v>
      </c>
      <c r="E75" s="10">
        <f>E74*50%</f>
        <v>250</v>
      </c>
      <c r="F75" s="9"/>
    </row>
    <row r="76" spans="1:6" ht="15" customHeight="1" x14ac:dyDescent="0.25">
      <c r="A76" s="38">
        <v>75</v>
      </c>
      <c r="B76" s="22" t="s">
        <v>49</v>
      </c>
      <c r="C76" s="13" t="s">
        <v>12</v>
      </c>
      <c r="D76" s="59">
        <f t="shared" ref="D76:D81" si="6">D75</f>
        <v>167.715825</v>
      </c>
      <c r="E76" s="10">
        <v>150</v>
      </c>
      <c r="F76" s="9">
        <f t="shared" ref="F76:F80" si="7">D76*E76</f>
        <v>25157.373749999999</v>
      </c>
    </row>
    <row r="77" spans="1:6" ht="15.75" x14ac:dyDescent="0.25">
      <c r="A77" s="38">
        <v>76</v>
      </c>
      <c r="B77" s="22" t="s">
        <v>33</v>
      </c>
      <c r="C77" s="13" t="s">
        <v>12</v>
      </c>
      <c r="D77" s="59">
        <f t="shared" si="6"/>
        <v>167.715825</v>
      </c>
      <c r="E77" s="10">
        <f>E76*50%</f>
        <v>75</v>
      </c>
      <c r="F77" s="9"/>
    </row>
    <row r="78" spans="1:6" ht="15.75" x14ac:dyDescent="0.25">
      <c r="A78" s="38">
        <v>77</v>
      </c>
      <c r="B78" s="22" t="s">
        <v>103</v>
      </c>
      <c r="C78" s="13" t="s">
        <v>12</v>
      </c>
      <c r="D78" s="59">
        <f t="shared" si="6"/>
        <v>167.715825</v>
      </c>
      <c r="E78" s="10">
        <v>300</v>
      </c>
      <c r="F78" s="9">
        <f t="shared" si="7"/>
        <v>50314.747499999998</v>
      </c>
    </row>
    <row r="79" spans="1:6" ht="15.75" x14ac:dyDescent="0.25">
      <c r="A79" s="38">
        <v>78</v>
      </c>
      <c r="B79" s="22" t="s">
        <v>104</v>
      </c>
      <c r="C79" s="13" t="s">
        <v>12</v>
      </c>
      <c r="D79" s="59">
        <f t="shared" si="6"/>
        <v>167.715825</v>
      </c>
      <c r="E79" s="10">
        <f>E78*50%</f>
        <v>150</v>
      </c>
      <c r="F79" s="9"/>
    </row>
    <row r="80" spans="1:6" ht="15.75" x14ac:dyDescent="0.25">
      <c r="A80" s="38">
        <v>79</v>
      </c>
      <c r="B80" s="22" t="s">
        <v>42</v>
      </c>
      <c r="C80" s="13" t="s">
        <v>12</v>
      </c>
      <c r="D80" s="59">
        <f t="shared" si="6"/>
        <v>167.715825</v>
      </c>
      <c r="E80" s="10">
        <v>120</v>
      </c>
      <c r="F80" s="9">
        <f t="shared" si="7"/>
        <v>20125.898999999998</v>
      </c>
    </row>
    <row r="81" spans="1:8" ht="15.75" x14ac:dyDescent="0.25">
      <c r="A81" s="38">
        <v>80</v>
      </c>
      <c r="B81" s="22" t="s">
        <v>43</v>
      </c>
      <c r="C81" s="13" t="s">
        <v>12</v>
      </c>
      <c r="D81" s="59">
        <f t="shared" si="6"/>
        <v>167.715825</v>
      </c>
      <c r="E81" s="10">
        <f>E80*120%</f>
        <v>144</v>
      </c>
      <c r="F81" s="9"/>
    </row>
    <row r="82" spans="1:8" ht="15.75" x14ac:dyDescent="0.25">
      <c r="A82" s="38">
        <v>81</v>
      </c>
      <c r="B82" s="20" t="s">
        <v>4</v>
      </c>
      <c r="C82" s="13"/>
      <c r="D82" s="52"/>
      <c r="E82" s="10"/>
      <c r="F82" s="21">
        <f>SUM(F74:F81)</f>
        <v>179455.93275000001</v>
      </c>
    </row>
    <row r="83" spans="1:8" ht="15.75" x14ac:dyDescent="0.25">
      <c r="A83" s="38">
        <v>82</v>
      </c>
      <c r="B83" s="19" t="s">
        <v>80</v>
      </c>
      <c r="C83" s="13" t="s">
        <v>56</v>
      </c>
      <c r="D83" s="52">
        <v>1</v>
      </c>
      <c r="E83" s="10">
        <v>180000</v>
      </c>
      <c r="F83" s="21">
        <f>D83*E83</f>
        <v>180000</v>
      </c>
    </row>
    <row r="84" spans="1:8" ht="18.75" x14ac:dyDescent="0.3">
      <c r="A84" s="38">
        <v>83</v>
      </c>
      <c r="B84" s="43" t="s">
        <v>121</v>
      </c>
      <c r="C84" s="34" t="s">
        <v>76</v>
      </c>
      <c r="D84" s="34">
        <v>6</v>
      </c>
      <c r="E84" s="35"/>
      <c r="F84" s="36">
        <f>(F72+F82)*D84%</f>
        <v>122446.306381845</v>
      </c>
    </row>
    <row r="85" spans="1:8" ht="18.75" x14ac:dyDescent="0.3">
      <c r="A85" s="38">
        <v>84</v>
      </c>
      <c r="B85" s="43" t="s">
        <v>81</v>
      </c>
      <c r="C85" s="34" t="s">
        <v>19</v>
      </c>
      <c r="D85" s="34">
        <f>8*8</f>
        <v>64</v>
      </c>
      <c r="E85" s="35">
        <v>2000</v>
      </c>
      <c r="F85" s="36"/>
      <c r="G85" s="54"/>
      <c r="H85" s="54"/>
    </row>
    <row r="86" spans="1:8" ht="15.75" x14ac:dyDescent="0.25">
      <c r="A86" s="38">
        <v>85</v>
      </c>
      <c r="B86" s="43" t="s">
        <v>105</v>
      </c>
      <c r="C86" s="44"/>
      <c r="D86" s="44"/>
      <c r="E86" s="45"/>
      <c r="F86" s="46">
        <f>SUM(F87:F93)</f>
        <v>166300</v>
      </c>
      <c r="G86" s="54"/>
      <c r="H86" s="54"/>
    </row>
    <row r="87" spans="1:8" x14ac:dyDescent="0.25">
      <c r="A87" s="38">
        <v>86</v>
      </c>
      <c r="B87" s="47" t="s">
        <v>50</v>
      </c>
      <c r="C87" s="48" t="s">
        <v>13</v>
      </c>
      <c r="D87" s="48">
        <v>4</v>
      </c>
      <c r="E87" s="49">
        <v>4000</v>
      </c>
      <c r="F87" s="50">
        <f t="shared" ref="F87:F93" si="8">D87*E87</f>
        <v>16000</v>
      </c>
    </row>
    <row r="88" spans="1:8" x14ac:dyDescent="0.25">
      <c r="A88" s="38">
        <v>87</v>
      </c>
      <c r="B88" s="47" t="s">
        <v>108</v>
      </c>
      <c r="C88" s="48" t="s">
        <v>13</v>
      </c>
      <c r="D88" s="48">
        <v>2</v>
      </c>
      <c r="E88" s="49">
        <v>5500</v>
      </c>
      <c r="F88" s="50">
        <f t="shared" si="8"/>
        <v>11000</v>
      </c>
    </row>
    <row r="89" spans="1:8" x14ac:dyDescent="0.25">
      <c r="A89" s="38">
        <v>88</v>
      </c>
      <c r="B89" s="47" t="s">
        <v>102</v>
      </c>
      <c r="C89" s="48" t="s">
        <v>13</v>
      </c>
      <c r="D89" s="48">
        <v>2</v>
      </c>
      <c r="E89" s="49">
        <v>5500</v>
      </c>
      <c r="F89" s="50">
        <f t="shared" si="8"/>
        <v>11000</v>
      </c>
    </row>
    <row r="90" spans="1:8" x14ac:dyDescent="0.25">
      <c r="A90" s="38">
        <v>89</v>
      </c>
      <c r="B90" s="47" t="s">
        <v>117</v>
      </c>
      <c r="C90" s="48" t="s">
        <v>13</v>
      </c>
      <c r="D90" s="48">
        <v>1</v>
      </c>
      <c r="E90" s="49">
        <v>13500</v>
      </c>
      <c r="F90" s="50">
        <f t="shared" si="8"/>
        <v>13500</v>
      </c>
    </row>
    <row r="91" spans="1:8" x14ac:dyDescent="0.25">
      <c r="A91" s="38">
        <v>90</v>
      </c>
      <c r="B91" s="47" t="s">
        <v>116</v>
      </c>
      <c r="C91" s="48" t="s">
        <v>13</v>
      </c>
      <c r="D91" s="48">
        <v>4</v>
      </c>
      <c r="E91" s="49">
        <v>17500</v>
      </c>
      <c r="F91" s="50">
        <f t="shared" si="8"/>
        <v>70000</v>
      </c>
    </row>
    <row r="92" spans="1:8" x14ac:dyDescent="0.25">
      <c r="A92" s="38">
        <v>91</v>
      </c>
      <c r="B92" s="47" t="s">
        <v>95</v>
      </c>
      <c r="C92" s="48" t="s">
        <v>13</v>
      </c>
      <c r="D92" s="48">
        <v>11</v>
      </c>
      <c r="E92" s="49">
        <v>3200</v>
      </c>
      <c r="F92" s="50">
        <f t="shared" si="8"/>
        <v>35200</v>
      </c>
      <c r="G92" s="54"/>
    </row>
    <row r="93" spans="1:8" x14ac:dyDescent="0.25">
      <c r="A93" s="38">
        <v>92</v>
      </c>
      <c r="B93" s="47" t="s">
        <v>100</v>
      </c>
      <c r="C93" s="48" t="s">
        <v>13</v>
      </c>
      <c r="D93" s="48">
        <v>2</v>
      </c>
      <c r="E93" s="49">
        <v>4800</v>
      </c>
      <c r="F93" s="50">
        <f t="shared" si="8"/>
        <v>9600</v>
      </c>
    </row>
    <row r="94" spans="1:8" ht="15.75" x14ac:dyDescent="0.25">
      <c r="A94" s="38">
        <v>93</v>
      </c>
      <c r="B94" s="62" t="s">
        <v>82</v>
      </c>
      <c r="C94" s="63"/>
      <c r="D94" s="63"/>
      <c r="E94" s="45"/>
      <c r="F94" s="46">
        <f>SUM(F95:F104)</f>
        <v>477100</v>
      </c>
      <c r="G94" s="54"/>
      <c r="H94" s="54"/>
    </row>
    <row r="95" spans="1:8" x14ac:dyDescent="0.25">
      <c r="A95" s="38">
        <v>94</v>
      </c>
      <c r="B95" s="66" t="s">
        <v>109</v>
      </c>
      <c r="C95" s="67" t="s">
        <v>83</v>
      </c>
      <c r="D95" s="68">
        <v>14</v>
      </c>
      <c r="E95" s="61">
        <v>9500</v>
      </c>
      <c r="F95" s="50">
        <f t="shared" ref="F95:F104" si="9">D95*E95</f>
        <v>133000</v>
      </c>
    </row>
    <row r="96" spans="1:8" x14ac:dyDescent="0.25">
      <c r="A96" s="38">
        <v>95</v>
      </c>
      <c r="B96" s="66" t="s">
        <v>110</v>
      </c>
      <c r="C96" s="67" t="s">
        <v>83</v>
      </c>
      <c r="D96" s="68">
        <v>6</v>
      </c>
      <c r="E96" s="61">
        <v>15000</v>
      </c>
      <c r="F96" s="50">
        <f t="shared" si="9"/>
        <v>90000</v>
      </c>
    </row>
    <row r="97" spans="1:6" x14ac:dyDescent="0.25">
      <c r="A97" s="38">
        <v>96</v>
      </c>
      <c r="B97" s="66" t="s">
        <v>101</v>
      </c>
      <c r="C97" s="67" t="s">
        <v>83</v>
      </c>
      <c r="D97" s="68">
        <v>2</v>
      </c>
      <c r="E97" s="61">
        <v>8000</v>
      </c>
      <c r="F97" s="50">
        <f t="shared" si="9"/>
        <v>16000</v>
      </c>
    </row>
    <row r="98" spans="1:6" x14ac:dyDescent="0.25">
      <c r="A98" s="38">
        <v>97</v>
      </c>
      <c r="B98" s="66" t="s">
        <v>111</v>
      </c>
      <c r="C98" s="67" t="s">
        <v>83</v>
      </c>
      <c r="D98" s="68">
        <v>92</v>
      </c>
      <c r="E98" s="61">
        <v>1500</v>
      </c>
      <c r="F98" s="50">
        <f t="shared" si="9"/>
        <v>138000</v>
      </c>
    </row>
    <row r="99" spans="1:6" x14ac:dyDescent="0.25">
      <c r="A99" s="38">
        <v>98</v>
      </c>
      <c r="B99" s="66" t="s">
        <v>112</v>
      </c>
      <c r="C99" s="67" t="s">
        <v>83</v>
      </c>
      <c r="D99" s="68">
        <v>1</v>
      </c>
      <c r="E99" s="61">
        <v>5500</v>
      </c>
      <c r="F99" s="50">
        <f t="shared" si="9"/>
        <v>5500</v>
      </c>
    </row>
    <row r="100" spans="1:6" x14ac:dyDescent="0.25">
      <c r="A100" s="38">
        <v>99</v>
      </c>
      <c r="B100" s="66" t="s">
        <v>113</v>
      </c>
      <c r="C100" s="67" t="s">
        <v>83</v>
      </c>
      <c r="D100" s="68">
        <v>1</v>
      </c>
      <c r="E100" s="61">
        <v>23500</v>
      </c>
      <c r="F100" s="50">
        <f t="shared" si="9"/>
        <v>23500</v>
      </c>
    </row>
    <row r="101" spans="1:6" x14ac:dyDescent="0.25">
      <c r="A101" s="38">
        <v>100</v>
      </c>
      <c r="B101" s="66" t="s">
        <v>114</v>
      </c>
      <c r="C101" s="67" t="s">
        <v>83</v>
      </c>
      <c r="D101" s="68">
        <v>2</v>
      </c>
      <c r="E101" s="61">
        <v>20500</v>
      </c>
      <c r="F101" s="50">
        <f t="shared" si="9"/>
        <v>41000</v>
      </c>
    </row>
    <row r="102" spans="1:6" x14ac:dyDescent="0.25">
      <c r="A102" s="38">
        <v>101</v>
      </c>
      <c r="B102" s="66" t="s">
        <v>115</v>
      </c>
      <c r="C102" s="67" t="s">
        <v>83</v>
      </c>
      <c r="D102" s="68">
        <v>2</v>
      </c>
      <c r="E102" s="61">
        <v>3800</v>
      </c>
      <c r="F102" s="50">
        <f t="shared" si="9"/>
        <v>7600</v>
      </c>
    </row>
    <row r="103" spans="1:6" x14ac:dyDescent="0.25">
      <c r="A103" s="38">
        <v>102</v>
      </c>
      <c r="B103" s="66" t="s">
        <v>84</v>
      </c>
      <c r="C103" s="67" t="s">
        <v>83</v>
      </c>
      <c r="D103" s="68">
        <v>3</v>
      </c>
      <c r="E103" s="61">
        <v>4500</v>
      </c>
      <c r="F103" s="50">
        <f t="shared" si="9"/>
        <v>13500</v>
      </c>
    </row>
    <row r="104" spans="1:6" x14ac:dyDescent="0.25">
      <c r="A104" s="38">
        <v>103</v>
      </c>
      <c r="B104" s="66" t="s">
        <v>85</v>
      </c>
      <c r="C104" s="67" t="s">
        <v>83</v>
      </c>
      <c r="D104" s="68">
        <v>5</v>
      </c>
      <c r="E104" s="61">
        <v>1800</v>
      </c>
      <c r="F104" s="50">
        <f t="shared" si="9"/>
        <v>9000</v>
      </c>
    </row>
    <row r="105" spans="1:6" ht="15.75" x14ac:dyDescent="0.25">
      <c r="A105" s="38">
        <v>104</v>
      </c>
      <c r="B105" s="43" t="s">
        <v>87</v>
      </c>
      <c r="C105" s="69" t="s">
        <v>86</v>
      </c>
      <c r="D105" s="69">
        <v>0</v>
      </c>
      <c r="E105" s="70">
        <v>50000</v>
      </c>
      <c r="F105" s="46">
        <f>D105*E105</f>
        <v>0</v>
      </c>
    </row>
    <row r="106" spans="1:6" ht="46.5" x14ac:dyDescent="0.25">
      <c r="A106" s="38">
        <v>105</v>
      </c>
      <c r="B106" s="64" t="s">
        <v>5</v>
      </c>
      <c r="C106" s="65"/>
      <c r="D106" s="65"/>
      <c r="E106" s="16"/>
      <c r="F106" s="37">
        <f>F72+F82+F84+F85+F83+F86+F94+F105</f>
        <v>2986618.0794125954</v>
      </c>
    </row>
    <row r="107" spans="1:6" x14ac:dyDescent="0.25">
      <c r="A107" s="38">
        <v>106</v>
      </c>
      <c r="B107" s="40" t="s">
        <v>26</v>
      </c>
      <c r="C107" s="60">
        <v>5</v>
      </c>
      <c r="D107" s="74" t="s">
        <v>44</v>
      </c>
      <c r="E107" s="74"/>
      <c r="F107" s="41">
        <f>F106/F6</f>
        <v>17807.610459016585</v>
      </c>
    </row>
    <row r="108" spans="1:6" x14ac:dyDescent="0.25">
      <c r="A108"/>
      <c r="C108"/>
      <c r="D108"/>
      <c r="F108" s="1"/>
    </row>
    <row r="109" spans="1:6" x14ac:dyDescent="0.25">
      <c r="A109"/>
      <c r="C109"/>
      <c r="D109"/>
      <c r="F109" s="1"/>
    </row>
    <row r="110" spans="1:6" x14ac:dyDescent="0.25">
      <c r="A110"/>
      <c r="C110"/>
      <c r="D110"/>
      <c r="F110" s="1"/>
    </row>
    <row r="111" spans="1:6" x14ac:dyDescent="0.25">
      <c r="A111"/>
      <c r="C111"/>
      <c r="D111"/>
      <c r="F111" s="1"/>
    </row>
  </sheetData>
  <mergeCells count="9">
    <mergeCell ref="D1:F1"/>
    <mergeCell ref="A1:C1"/>
    <mergeCell ref="C2:F2"/>
    <mergeCell ref="C3:F3"/>
    <mergeCell ref="D107:E107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25:B38">
      <formula1>кровля</formula1>
    </dataValidation>
    <dataValidation type="list" allowBlank="1" showInputMessage="1" showErrorMessage="1" sqref="B57:B61 B63:B64">
      <formula1>отделка</formula1>
    </dataValidation>
    <dataValidation type="list" allowBlank="1" showInputMessage="1" showErrorMessage="1" sqref="B66">
      <formula1>прочие</formula1>
    </dataValidation>
    <dataValidation type="list" allowBlank="1" showInputMessage="1" showErrorMessage="1" sqref="B67:B68">
      <formula1>лестницы</formula1>
    </dataValidation>
    <dataValidation type="list" allowBlank="1" showInputMessage="1" showErrorMessage="1" sqref="B18:B22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2014-08-15T10:19:21Z</dcterms:modified>
</cp:coreProperties>
</file>