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E90" i="1" l="1"/>
  <c r="E88" i="1"/>
  <c r="F101" i="1"/>
  <c r="F99" i="1"/>
  <c r="D75" i="1" l="1"/>
  <c r="F75" i="1" s="1"/>
  <c r="F74" i="1"/>
  <c r="F73" i="1"/>
  <c r="F72" i="1"/>
  <c r="D52" i="1"/>
  <c r="C62" i="1"/>
  <c r="F61" i="1"/>
  <c r="D62" i="1"/>
  <c r="F62" i="1" s="1"/>
  <c r="C61" i="1"/>
  <c r="D21" i="1"/>
  <c r="D22" i="1" s="1"/>
  <c r="F22" i="1" s="1"/>
  <c r="D58" i="1"/>
  <c r="D56" i="1" s="1"/>
  <c r="D47" i="1"/>
  <c r="D13" i="1"/>
  <c r="D12" i="1"/>
  <c r="F76" i="1" l="1"/>
  <c r="F21" i="1"/>
  <c r="D23" i="1" l="1"/>
  <c r="F6" i="1"/>
  <c r="D102" i="1" l="1"/>
  <c r="F97" i="1" l="1"/>
  <c r="F98" i="1"/>
  <c r="F100" i="1" l="1"/>
  <c r="D53" i="1" l="1"/>
  <c r="D26" i="1"/>
  <c r="D27" i="1" l="1"/>
  <c r="D37" i="1" l="1"/>
  <c r="F53" i="1" l="1"/>
  <c r="D48" i="1"/>
  <c r="F94" i="1"/>
  <c r="F69" i="1"/>
  <c r="C68" i="1"/>
  <c r="D92" i="1"/>
  <c r="F92" i="1" s="1"/>
  <c r="D81" i="1"/>
  <c r="F81" i="1" s="1"/>
  <c r="E86" i="1"/>
  <c r="E84" i="1"/>
  <c r="E82" i="1"/>
  <c r="C64" i="1"/>
  <c r="C60" i="1"/>
  <c r="C59" i="1"/>
  <c r="C58" i="1"/>
  <c r="D39" i="1"/>
  <c r="D29" i="1"/>
  <c r="C39" i="1"/>
  <c r="C38" i="1"/>
  <c r="C37" i="1"/>
  <c r="D36" i="1"/>
  <c r="F36" i="1" s="1"/>
  <c r="F35" i="1"/>
  <c r="C35" i="1"/>
  <c r="D34" i="1"/>
  <c r="C34" i="1"/>
  <c r="F33" i="1"/>
  <c r="C33" i="1"/>
  <c r="E31" i="1"/>
  <c r="C31" i="1"/>
  <c r="C30" i="1"/>
  <c r="C29" i="1"/>
  <c r="F32" i="1"/>
  <c r="C28" i="1"/>
  <c r="C27" i="1"/>
  <c r="C26" i="1"/>
  <c r="F23" i="1"/>
  <c r="F20" i="1"/>
  <c r="F19" i="1"/>
  <c r="F17" i="1"/>
  <c r="D30" i="1" l="1"/>
  <c r="F30" i="1" s="1"/>
  <c r="F68" i="1"/>
  <c r="F70" i="1" s="1"/>
  <c r="F58" i="1"/>
  <c r="D82" i="1"/>
  <c r="D59" i="1"/>
  <c r="D64" i="1" s="1"/>
  <c r="F64" i="1" s="1"/>
  <c r="D60" i="1"/>
  <c r="F60" i="1" s="1"/>
  <c r="D54" i="1"/>
  <c r="F54" i="1" s="1"/>
  <c r="F52" i="1"/>
  <c r="F34" i="1"/>
  <c r="F31" i="1"/>
  <c r="F29" i="1"/>
  <c r="F37" i="1"/>
  <c r="D38" i="1"/>
  <c r="F38" i="1" s="1"/>
  <c r="F39" i="1"/>
  <c r="F26" i="1"/>
  <c r="F27" i="1"/>
  <c r="D28" i="1"/>
  <c r="F28" i="1" s="1"/>
  <c r="F16" i="1"/>
  <c r="F18" i="1"/>
  <c r="F96" i="1"/>
  <c r="F95" i="1" s="1"/>
  <c r="D65" i="1" l="1"/>
  <c r="F65" i="1" s="1"/>
  <c r="F56" i="1"/>
  <c r="F59" i="1"/>
  <c r="D83" i="1"/>
  <c r="F82" i="1"/>
  <c r="F57" i="1" l="1"/>
  <c r="F66" i="1" s="1"/>
  <c r="D84" i="1"/>
  <c r="F83" i="1"/>
  <c r="F14" i="1"/>
  <c r="D85" i="1" l="1"/>
  <c r="F84" i="1"/>
  <c r="F24" i="1"/>
  <c r="D1" i="1"/>
  <c r="F85" i="1" l="1"/>
  <c r="D86" i="1"/>
  <c r="D87" i="1" s="1"/>
  <c r="F44" i="1"/>
  <c r="F48" i="1"/>
  <c r="D88" i="1" l="1"/>
  <c r="F87" i="1"/>
  <c r="F86" i="1"/>
  <c r="F42" i="1"/>
  <c r="F43" i="1"/>
  <c r="F88" i="1" l="1"/>
  <c r="D89" i="1"/>
  <c r="F45" i="1"/>
  <c r="D90" i="1" l="1"/>
  <c r="F90" i="1" s="1"/>
  <c r="F91" i="1" s="1"/>
  <c r="F89" i="1"/>
  <c r="F47" i="1"/>
  <c r="F49" i="1" s="1"/>
  <c r="A1" i="1" l="1"/>
  <c r="F40" i="1" l="1"/>
  <c r="F77" i="1" s="1"/>
  <c r="F78" i="1" l="1"/>
  <c r="F79" i="1" s="1"/>
  <c r="F103" i="1" l="1"/>
  <c r="F93" i="1"/>
  <c r="F104" i="1" l="1"/>
</calcChain>
</file>

<file path=xl/sharedStrings.xml><?xml version="1.0" encoding="utf-8"?>
<sst xmlns="http://schemas.openxmlformats.org/spreadsheetml/2006/main" count="169" uniqueCount="115">
  <si>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</si>
  <si>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</si>
  <si>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</si>
  <si>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</si>
  <si>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</si>
  <si>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</si>
  <si>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</si>
  <si>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</si>
  <si>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</si>
  <si>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</si>
  <si>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</si>
  <si>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</si>
  <si>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</si>
  <si>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</si>
  <si>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</si>
  <si>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</si>
  <si>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</si>
  <si>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</si>
  <si>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</si>
  <si>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</si>
  <si>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</si>
  <si>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</si>
  <si>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</si>
  <si>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</si>
  <si>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</si>
  <si>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</si>
  <si>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</si>
  <si>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</si>
  <si>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</si>
  <si>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</si>
  <si>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</si>
  <si>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</si>
  <si>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</si>
  <si>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</si>
  <si>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</si>
  <si>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 xml:space="preserve">Панели ПВХ </t>
  </si>
  <si>
    <t>Подсистема под ПВХ панели</t>
  </si>
  <si>
    <t>Монтаж панелей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</si>
  <si>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</si>
  <si>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</si>
  <si>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</si>
  <si>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</si>
  <si>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 xml:space="preserve">Отопление и вентиляция (материалы) </t>
  </si>
  <si>
    <t>Отопление и вентиляция (монтаж)</t>
  </si>
  <si>
    <t>Цена за м2:</t>
  </si>
  <si>
    <t>Профлист Н44</t>
  </si>
  <si>
    <t xml:space="preserve">Линолеум </t>
  </si>
  <si>
    <t>Описание модулей: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</si>
  <si>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</si>
  <si>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</si>
  <si>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</si>
  <si>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</si>
  <si>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Раковина + смеситель</t>
  </si>
  <si>
    <t>Кабинка с дверью сантехническая</t>
  </si>
  <si>
    <t>Винтовые сваи диам.114мм L=3,5м.</t>
  </si>
  <si>
    <t>Сборка СРМ</t>
  </si>
  <si>
    <t>Монтаж первого этажа здания</t>
  </si>
  <si>
    <t>Монтаж второго и третьего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</si>
  <si>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</si>
  <si>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</si>
  <si>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</si>
  <si>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</si>
  <si>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</si>
  <si>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</si>
  <si>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</si>
  <si>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</si>
  <si>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</si>
  <si>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</si>
  <si>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</si>
  <si>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</si>
  <si>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</si>
  <si>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</si>
  <si>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</si>
  <si>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Укладка кафеля на пол</t>
  </si>
  <si>
    <t>Плитка для пола Соло Крема 300*300</t>
  </si>
  <si>
    <t>Клей для кафеля и керамогранита</t>
  </si>
  <si>
    <t>Монтаж облицовки потолков</t>
  </si>
  <si>
    <t>%</t>
  </si>
  <si>
    <t>Раздел 8. Лестницы, крыльца</t>
  </si>
  <si>
    <t>Монтаж металлоконструкций крыльц</t>
  </si>
  <si>
    <t>тн</t>
  </si>
  <si>
    <t>МЗ - АБК</t>
  </si>
  <si>
    <t>Устройство цоколя (работа + материал)</t>
  </si>
  <si>
    <t>-</t>
  </si>
  <si>
    <t>санузлы</t>
  </si>
  <si>
    <t>тамбура</t>
  </si>
  <si>
    <t>Панели ПВХ с комплектующими (влагостойкий Армстронг)</t>
  </si>
  <si>
    <t xml:space="preserve">Конструкции металлические крыльц </t>
  </si>
  <si>
    <t>Неучтенные работы и материалы (около 1 %)</t>
  </si>
  <si>
    <t xml:space="preserve">Раздел 9. Инженерные сети </t>
  </si>
  <si>
    <t>Раздел 10. Проектные работы (АР, КМ)</t>
  </si>
  <si>
    <t>Раздел 11. Накладные расходы</t>
  </si>
  <si>
    <t>Раздел 12. Аренда автокрана</t>
  </si>
  <si>
    <t>Раздел 13. Дополнительное оборудование, мебель:</t>
  </si>
  <si>
    <t>Раздел 14. Доставка</t>
  </si>
  <si>
    <t>рейс</t>
  </si>
  <si>
    <t xml:space="preserve"> ООО "РЕГИОН-ОМСК"</t>
  </si>
  <si>
    <t>150/200/150</t>
  </si>
  <si>
    <t>Модуль без 1 длинной и 1короткой стороны, 6,229*2,434м, 150/200/150</t>
  </si>
  <si>
    <t>Модуль без 2 длинных и 1короткой стороны, 6,229*2,434м, 150/200/150</t>
  </si>
  <si>
    <t>вн. высота 2,8м</t>
  </si>
  <si>
    <t>Кассета кровли, б=200мм</t>
  </si>
  <si>
    <t>Кассета пола, б=150мм</t>
  </si>
  <si>
    <t>Монтаж стального покрытия</t>
  </si>
  <si>
    <t>Металлический рифленый лист 3 мм</t>
  </si>
  <si>
    <t>Раздел 9. Конструкции тамбура</t>
  </si>
  <si>
    <t>Монтаж металлоконструкций тамбуров</t>
  </si>
  <si>
    <t>Металлоконструкции тамбура</t>
  </si>
  <si>
    <t>Сэндвич-панели 150 мм</t>
  </si>
  <si>
    <t>Кондиционер</t>
  </si>
  <si>
    <t>АПС (материалы)</t>
  </si>
  <si>
    <t>АПС (монтаж)</t>
  </si>
  <si>
    <t>ОПС (материалы)</t>
  </si>
  <si>
    <t>ОПС (монтаж)</t>
  </si>
  <si>
    <t>г.Омск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</si>
</sst>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2" fillId="2" borderId="1" xfId="1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44" fontId="0" fillId="2" borderId="1" xfId="1" applyFont="1" applyFill="1" applyBorder="1" applyAlignment="1">
      <alignment horizontal="right" vertical="center" wrapText="1"/>
    </xf>
    <xf numFmtId="44" fontId="0" fillId="4" borderId="1" xfId="1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</definedNames>
    <sheetDataSet>
      <sheetData sheetId="0" refreshError="1">
        <row r="1">
          <cell r="A1" t="str">
            <v>Вахтовый городок - жилой дом на 220чел</v>
          </cell>
        </row>
      </sheetData>
      <sheetData sheetId="1" refreshError="1">
        <row r="1">
          <cell r="A1" t="str">
            <v>-</v>
          </cell>
        </row>
      </sheetData>
      <sheetData sheetId="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 refreshError="1">
        <row r="1">
          <cell r="A1" t="str">
            <v>-</v>
          </cell>
        </row>
      </sheetData>
      <sheetData sheetId="4" refreshError="1">
        <row r="1">
          <cell r="A1" t="str">
            <v>-</v>
          </cell>
        </row>
      </sheetData>
      <sheetData sheetId="5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 refreshError="1">
        <row r="1">
          <cell r="A1" t="str">
            <v>-</v>
          </cell>
        </row>
      </sheetData>
      <sheetData sheetId="8" refreshError="1">
        <row r="1">
          <cell r="A1" t="str">
            <v>-</v>
          </cell>
        </row>
      </sheetData>
      <sheetData sheetId="9" refreshError="1">
        <row r="1">
          <cell r="A1" t="str">
            <v>-</v>
          </cell>
        </row>
      </sheetData>
      <sheetData sheetId="10" refreshError="1">
        <row r="1">
          <cell r="A1" t="str">
            <v>-</v>
          </cell>
        </row>
      </sheetData>
      <sheetData sheetId="11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 refreshError="1">
        <row r="1">
          <cell r="A1" t="str">
            <v>-</v>
          </cell>
        </row>
      </sheetData>
      <sheetData sheetId="14" refreshError="1">
        <row r="1">
          <cell r="B1" t="str">
            <v>-</v>
          </cell>
        </row>
      </sheetData>
      <sheetData sheetId="15" refreshError="1">
        <row r="1">
          <cell r="A1" t="str">
            <v>-</v>
          </cell>
        </row>
      </sheetData>
      <sheetData sheetId="16" refreshError="1">
        <row r="1">
          <cell r="A1" t="str">
            <v>-</v>
          </cell>
        </row>
      </sheetData>
      <sheetData sheetId="17" refreshError="1">
        <row r="1">
          <cell r="A1" t="str">
            <v>-</v>
          </cell>
        </row>
      </sheetData>
      <sheetData sheetId="18" refreshError="1">
        <row r="1">
          <cell r="A1" t="str">
            <v>-</v>
          </cell>
        </row>
      </sheetData>
      <sheetData sheetId="19" refreshError="1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abSelected="1" zoomScaleNormal="100" workbookViewId="0">
      <pane ySplit="8" topLeftCell="A93" activePane="bottomLeft" state="frozen"/>
      <selection pane="bottomLeft" activeCell="H102" sqref="H102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25.5" customHeight="1" x14ac:dyDescent="0.25">
      <c r="A1" s="69" t="str">
        <f>C2</f>
        <v>МЗ - АБК</v>
      </c>
      <c r="B1" s="69"/>
      <c r="C1" s="69"/>
      <c r="D1" s="68" t="str">
        <f>C3</f>
        <v xml:space="preserve"> ООО "РЕГИОН-ОМСК"</v>
      </c>
      <c r="E1" s="68"/>
      <c r="F1" s="68"/>
    </row>
    <row r="2" spans="1:6" x14ac:dyDescent="0.25">
      <c r="A2" s="40">
        <v>1</v>
      </c>
      <c r="B2" s="41" t="s">
        <v>2</v>
      </c>
      <c r="C2" s="70" t="s">
        <v>81</v>
      </c>
      <c r="D2" s="70"/>
      <c r="E2" s="70"/>
      <c r="F2" s="70"/>
    </row>
    <row r="3" spans="1:6" x14ac:dyDescent="0.25">
      <c r="A3" s="40">
        <v>2</v>
      </c>
      <c r="B3" s="41" t="s">
        <v>0</v>
      </c>
      <c r="C3" s="70" t="s">
        <v>96</v>
      </c>
      <c r="D3" s="70"/>
      <c r="E3" s="70"/>
      <c r="F3" s="70"/>
    </row>
    <row r="4" spans="1:6" ht="14.25" customHeight="1" x14ac:dyDescent="0.25">
      <c r="A4" s="40">
        <v>3</v>
      </c>
      <c r="B4" s="41" t="s">
        <v>1</v>
      </c>
      <c r="C4" s="73" t="s">
        <v>114</v>
      </c>
      <c r="D4" s="74"/>
      <c r="E4" s="74"/>
      <c r="F4" s="75"/>
    </row>
    <row r="5" spans="1:6" ht="15.75" customHeight="1" x14ac:dyDescent="0.25">
      <c r="A5" s="40">
        <v>4</v>
      </c>
      <c r="B5" s="41" t="s">
        <v>47</v>
      </c>
      <c r="C5" s="73" t="s">
        <v>100</v>
      </c>
      <c r="D5" s="74"/>
      <c r="E5" s="74"/>
      <c r="F5" s="75"/>
    </row>
    <row r="6" spans="1:6" ht="17.25" customHeight="1" x14ac:dyDescent="0.25">
      <c r="A6" s="40">
        <v>5</v>
      </c>
      <c r="B6" s="41" t="s">
        <v>49</v>
      </c>
      <c r="C6" s="70" t="s">
        <v>97</v>
      </c>
      <c r="D6" s="70"/>
      <c r="E6" s="44" t="s">
        <v>48</v>
      </c>
      <c r="F6" s="58">
        <f>19.578*13.958</f>
        <v>273.269724</v>
      </c>
    </row>
    <row r="7" spans="1:6" x14ac:dyDescent="0.25">
      <c r="A7" s="40">
        <v>6</v>
      </c>
      <c r="B7" s="41" t="s">
        <v>3</v>
      </c>
      <c r="C7" s="73" t="s">
        <v>83</v>
      </c>
      <c r="D7" s="74"/>
      <c r="E7" s="74"/>
      <c r="F7" s="75"/>
    </row>
    <row r="8" spans="1:6" ht="37.5" x14ac:dyDescent="0.25">
      <c r="A8" s="40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 x14ac:dyDescent="0.25">
      <c r="A9" s="40">
        <v>8</v>
      </c>
      <c r="B9" s="5" t="s">
        <v>33</v>
      </c>
      <c r="C9" s="4"/>
      <c r="D9" s="4"/>
      <c r="E9" s="4"/>
      <c r="F9" s="4"/>
    </row>
    <row r="10" spans="1:6" x14ac:dyDescent="0.25">
      <c r="A10" s="40">
        <v>9</v>
      </c>
      <c r="B10" s="6" t="s">
        <v>27</v>
      </c>
      <c r="C10" s="13" t="s">
        <v>28</v>
      </c>
      <c r="D10" s="13">
        <v>16</v>
      </c>
      <c r="E10" s="10">
        <v>170</v>
      </c>
      <c r="F10" s="9"/>
    </row>
    <row r="11" spans="1:6" x14ac:dyDescent="0.25">
      <c r="A11" s="40">
        <v>10</v>
      </c>
      <c r="B11" s="6" t="s">
        <v>54</v>
      </c>
      <c r="C11" s="13" t="s">
        <v>12</v>
      </c>
      <c r="D11" s="13">
        <v>36</v>
      </c>
      <c r="E11" s="10">
        <v>5500</v>
      </c>
      <c r="F11" s="9"/>
    </row>
    <row r="12" spans="1:6" x14ac:dyDescent="0.25">
      <c r="A12" s="40">
        <v>11</v>
      </c>
      <c r="B12" s="6" t="s">
        <v>29</v>
      </c>
      <c r="C12" s="13" t="s">
        <v>18</v>
      </c>
      <c r="D12" s="13">
        <f>0.5*D11</f>
        <v>18</v>
      </c>
      <c r="E12" s="10">
        <v>2000</v>
      </c>
      <c r="F12" s="9"/>
    </row>
    <row r="13" spans="1:6" x14ac:dyDescent="0.25">
      <c r="A13" s="40">
        <v>12</v>
      </c>
      <c r="B13" s="6" t="s">
        <v>30</v>
      </c>
      <c r="C13" s="13" t="s">
        <v>12</v>
      </c>
      <c r="D13" s="13">
        <f>D11</f>
        <v>36</v>
      </c>
      <c r="E13" s="10">
        <v>250</v>
      </c>
      <c r="F13" s="9"/>
    </row>
    <row r="14" spans="1:6" x14ac:dyDescent="0.25">
      <c r="A14" s="40">
        <v>15</v>
      </c>
      <c r="B14" s="7" t="s">
        <v>4</v>
      </c>
      <c r="C14" s="14"/>
      <c r="D14" s="14"/>
      <c r="E14" s="11"/>
      <c r="F14" s="15">
        <f>SUM(F10:F13)</f>
        <v>0</v>
      </c>
    </row>
    <row r="15" spans="1:6" ht="18.75" x14ac:dyDescent="0.25">
      <c r="A15" s="40">
        <v>16</v>
      </c>
      <c r="B15" s="5" t="s">
        <v>21</v>
      </c>
      <c r="C15" s="4"/>
      <c r="D15" s="4"/>
      <c r="E15" s="4"/>
      <c r="F15" s="4"/>
    </row>
    <row r="16" spans="1:6" x14ac:dyDescent="0.25">
      <c r="A16" s="40">
        <v>17</v>
      </c>
      <c r="B16" s="6" t="s">
        <v>55</v>
      </c>
      <c r="C16" s="13" t="s">
        <v>58</v>
      </c>
      <c r="D16" s="13">
        <v>16</v>
      </c>
      <c r="E16" s="10">
        <v>2000</v>
      </c>
      <c r="F16" s="9">
        <f>D16*E16</f>
        <v>32000</v>
      </c>
    </row>
    <row r="17" spans="1:6" x14ac:dyDescent="0.25">
      <c r="A17" s="40">
        <v>18</v>
      </c>
      <c r="B17" s="6" t="s">
        <v>56</v>
      </c>
      <c r="C17" s="13" t="s">
        <v>58</v>
      </c>
      <c r="D17" s="13">
        <v>16</v>
      </c>
      <c r="E17" s="10">
        <v>2000</v>
      </c>
      <c r="F17" s="9">
        <f>D17*E17</f>
        <v>32000</v>
      </c>
    </row>
    <row r="18" spans="1:6" x14ac:dyDescent="0.25">
      <c r="A18" s="40">
        <v>19</v>
      </c>
      <c r="B18" s="6" t="s">
        <v>57</v>
      </c>
      <c r="C18" s="13" t="s">
        <v>58</v>
      </c>
      <c r="D18" s="13">
        <v>0</v>
      </c>
      <c r="E18" s="10">
        <v>3000</v>
      </c>
      <c r="F18" s="9">
        <f t="shared" ref="F18" si="0">D18*E18</f>
        <v>0</v>
      </c>
    </row>
    <row r="19" spans="1:6" ht="30" x14ac:dyDescent="0.25">
      <c r="A19" s="40">
        <v>20</v>
      </c>
      <c r="B19" s="6" t="s">
        <v>98</v>
      </c>
      <c r="C19" s="13" t="s">
        <v>58</v>
      </c>
      <c r="D19" s="13">
        <v>4</v>
      </c>
      <c r="E19" s="10">
        <v>120285</v>
      </c>
      <c r="F19" s="9">
        <f>D19*E19</f>
        <v>481140</v>
      </c>
    </row>
    <row r="20" spans="1:6" ht="30" x14ac:dyDescent="0.25">
      <c r="A20" s="40">
        <v>21</v>
      </c>
      <c r="B20" s="6" t="s">
        <v>99</v>
      </c>
      <c r="C20" s="13" t="s">
        <v>58</v>
      </c>
      <c r="D20" s="13">
        <v>12</v>
      </c>
      <c r="E20" s="10">
        <v>100116</v>
      </c>
      <c r="F20" s="9">
        <f t="shared" ref="F20:F23" si="1">D20*E20</f>
        <v>1201392</v>
      </c>
    </row>
    <row r="21" spans="1:6" x14ac:dyDescent="0.25">
      <c r="A21" s="40"/>
      <c r="B21" s="6" t="s">
        <v>101</v>
      </c>
      <c r="C21" s="13" t="s">
        <v>11</v>
      </c>
      <c r="D21" s="52">
        <f>1.5*19.3</f>
        <v>28.950000000000003</v>
      </c>
      <c r="E21" s="10">
        <v>3100</v>
      </c>
      <c r="F21" s="9">
        <f t="shared" si="1"/>
        <v>89745.000000000015</v>
      </c>
    </row>
    <row r="22" spans="1:6" x14ac:dyDescent="0.25">
      <c r="A22" s="40"/>
      <c r="B22" s="6" t="s">
        <v>102</v>
      </c>
      <c r="C22" s="13" t="s">
        <v>11</v>
      </c>
      <c r="D22" s="52">
        <f>D21</f>
        <v>28.950000000000003</v>
      </c>
      <c r="E22" s="10">
        <v>2950</v>
      </c>
      <c r="F22" s="9">
        <f t="shared" si="1"/>
        <v>85402.500000000015</v>
      </c>
    </row>
    <row r="23" spans="1:6" x14ac:dyDescent="0.25">
      <c r="A23" s="40">
        <v>22</v>
      </c>
      <c r="B23" s="6" t="s">
        <v>82</v>
      </c>
      <c r="C23" s="13" t="s">
        <v>11</v>
      </c>
      <c r="D23" s="52">
        <f>(19.578*2+13.958*2)*0.7</f>
        <v>46.950400000000002</v>
      </c>
      <c r="E23" s="10">
        <v>600</v>
      </c>
      <c r="F23" s="9">
        <f t="shared" si="1"/>
        <v>28170.240000000002</v>
      </c>
    </row>
    <row r="24" spans="1:6" x14ac:dyDescent="0.25">
      <c r="A24" s="40">
        <v>23</v>
      </c>
      <c r="B24" s="7" t="s">
        <v>4</v>
      </c>
      <c r="C24" s="14"/>
      <c r="D24" s="14"/>
      <c r="E24" s="11"/>
      <c r="F24" s="15">
        <f>SUM(F16:F23)</f>
        <v>1949849.74</v>
      </c>
    </row>
    <row r="25" spans="1:6" ht="15.75" x14ac:dyDescent="0.25">
      <c r="A25" s="40">
        <v>24</v>
      </c>
      <c r="B25" s="5" t="s">
        <v>22</v>
      </c>
      <c r="C25" s="12"/>
      <c r="D25" s="12"/>
      <c r="E25" s="8"/>
      <c r="F25" s="9"/>
    </row>
    <row r="26" spans="1:6" x14ac:dyDescent="0.25">
      <c r="A26" s="40">
        <v>25</v>
      </c>
      <c r="B26" s="6" t="s">
        <v>59</v>
      </c>
      <c r="C26" s="13" t="str">
        <f>VLOOKUP(B26,[2]Кровля!Прайс,2,FALSE)</f>
        <v>тн</v>
      </c>
      <c r="D26" s="52">
        <f>0.015*F6</f>
        <v>4.0990458599999995</v>
      </c>
      <c r="E26" s="10">
        <v>42000</v>
      </c>
      <c r="F26" s="9">
        <f>D26*E26</f>
        <v>172159.92611999999</v>
      </c>
    </row>
    <row r="27" spans="1:6" x14ac:dyDescent="0.25">
      <c r="A27" s="40">
        <v>26</v>
      </c>
      <c r="B27" s="6" t="s">
        <v>45</v>
      </c>
      <c r="C27" s="13" t="str">
        <f>VLOOKUP(B27,[2]Кровля!Прайс,2,FALSE)</f>
        <v>м2</v>
      </c>
      <c r="D27" s="52">
        <f>1.1*F6</f>
        <v>300.59669640000004</v>
      </c>
      <c r="E27" s="10">
        <v>370</v>
      </c>
      <c r="F27" s="9">
        <f t="shared" ref="F27:F39" si="2">D27*E27</f>
        <v>111220.77766800001</v>
      </c>
    </row>
    <row r="28" spans="1:6" x14ac:dyDescent="0.25">
      <c r="A28" s="40">
        <v>27</v>
      </c>
      <c r="B28" s="6" t="s">
        <v>60</v>
      </c>
      <c r="C28" s="13" t="str">
        <f>VLOOKUP(B28,[2]Кровля!Прайс,2,FALSE)</f>
        <v>м3</v>
      </c>
      <c r="D28" s="52">
        <f>D27*0.04/4</f>
        <v>3.0059669640000006</v>
      </c>
      <c r="E28" s="10">
        <v>6500</v>
      </c>
      <c r="F28" s="9">
        <f t="shared" si="2"/>
        <v>19538.785266000003</v>
      </c>
    </row>
    <row r="29" spans="1:6" x14ac:dyDescent="0.25">
      <c r="A29" s="40">
        <v>28</v>
      </c>
      <c r="B29" s="6" t="s">
        <v>63</v>
      </c>
      <c r="C29" s="13" t="str">
        <f>VLOOKUP(B29,[2]Кровля!Прайс,2,FALSE)</f>
        <v>тн</v>
      </c>
      <c r="D29" s="52">
        <f>D26</f>
        <v>4.0990458599999995</v>
      </c>
      <c r="E29" s="10">
        <v>7000</v>
      </c>
      <c r="F29" s="9">
        <f t="shared" si="2"/>
        <v>28693.321019999996</v>
      </c>
    </row>
    <row r="30" spans="1:6" x14ac:dyDescent="0.25">
      <c r="A30" s="40">
        <v>29</v>
      </c>
      <c r="B30" s="6" t="s">
        <v>64</v>
      </c>
      <c r="C30" s="13" t="str">
        <f>VLOOKUP(B30,[2]Кровля!Прайс,2,FALSE)</f>
        <v>м2</v>
      </c>
      <c r="D30" s="52">
        <f>D27</f>
        <v>300.59669640000004</v>
      </c>
      <c r="E30" s="10">
        <v>250</v>
      </c>
      <c r="F30" s="9">
        <f t="shared" si="2"/>
        <v>75149.174100000004</v>
      </c>
    </row>
    <row r="31" spans="1:6" x14ac:dyDescent="0.25">
      <c r="A31" s="40">
        <v>30</v>
      </c>
      <c r="B31" s="6" t="s">
        <v>65</v>
      </c>
      <c r="C31" s="13" t="str">
        <f>VLOOKUP(B31,[2]Кровля!Прайс,2,FALSE)</f>
        <v>м</v>
      </c>
      <c r="D31" s="52">
        <v>40</v>
      </c>
      <c r="E31" s="10">
        <f>E32*40%</f>
        <v>260</v>
      </c>
      <c r="F31" s="9">
        <f t="shared" si="2"/>
        <v>10400</v>
      </c>
    </row>
    <row r="32" spans="1:6" x14ac:dyDescent="0.25">
      <c r="A32" s="40">
        <v>31</v>
      </c>
      <c r="B32" s="6" t="s">
        <v>61</v>
      </c>
      <c r="C32" s="13" t="s">
        <v>62</v>
      </c>
      <c r="D32" s="52">
        <v>40</v>
      </c>
      <c r="E32" s="10">
        <v>650</v>
      </c>
      <c r="F32" s="9">
        <f>D32*E32</f>
        <v>26000</v>
      </c>
    </row>
    <row r="33" spans="1:7" x14ac:dyDescent="0.25">
      <c r="A33" s="40">
        <v>32</v>
      </c>
      <c r="B33" s="6" t="s">
        <v>66</v>
      </c>
      <c r="C33" s="13" t="str">
        <f>VLOOKUP(B33,[1]Кровля!Прайс,2,FALSE)</f>
        <v>шт</v>
      </c>
      <c r="D33" s="52">
        <v>4</v>
      </c>
      <c r="E33" s="10">
        <v>250</v>
      </c>
      <c r="F33" s="9">
        <f t="shared" si="2"/>
        <v>1000</v>
      </c>
    </row>
    <row r="34" spans="1:7" x14ac:dyDescent="0.25">
      <c r="A34" s="40">
        <v>33</v>
      </c>
      <c r="B34" s="6" t="s">
        <v>67</v>
      </c>
      <c r="C34" s="13" t="str">
        <f>VLOOKUP(B34,[1]Кровля!Прайс,2,FALSE)</f>
        <v>шт</v>
      </c>
      <c r="D34" s="52">
        <f>D33</f>
        <v>4</v>
      </c>
      <c r="E34" s="10">
        <v>360</v>
      </c>
      <c r="F34" s="9">
        <f t="shared" si="2"/>
        <v>1440</v>
      </c>
    </row>
    <row r="35" spans="1:7" x14ac:dyDescent="0.25">
      <c r="A35" s="40">
        <v>34</v>
      </c>
      <c r="B35" s="6" t="s">
        <v>68</v>
      </c>
      <c r="C35" s="13" t="str">
        <f>VLOOKUP(B35,[1]Кровля!Прайс,2,FALSE)</f>
        <v>м</v>
      </c>
      <c r="D35" s="52">
        <v>20</v>
      </c>
      <c r="E35" s="10">
        <v>120</v>
      </c>
      <c r="F35" s="9">
        <f t="shared" si="2"/>
        <v>2400</v>
      </c>
    </row>
    <row r="36" spans="1:7" x14ac:dyDescent="0.25">
      <c r="A36" s="40">
        <v>35</v>
      </c>
      <c r="B36" s="6" t="s">
        <v>69</v>
      </c>
      <c r="C36" s="13" t="s">
        <v>11</v>
      </c>
      <c r="D36" s="52">
        <f>D35*0.4</f>
        <v>8</v>
      </c>
      <c r="E36" s="10">
        <v>480</v>
      </c>
      <c r="F36" s="9">
        <f t="shared" si="2"/>
        <v>3840</v>
      </c>
    </row>
    <row r="37" spans="1:7" x14ac:dyDescent="0.25">
      <c r="A37" s="40">
        <v>36</v>
      </c>
      <c r="B37" s="6" t="s">
        <v>70</v>
      </c>
      <c r="C37" s="13" t="str">
        <f>VLOOKUP(B37,[1]Кровля!Прайс,2,FALSE)</f>
        <v>м2</v>
      </c>
      <c r="D37" s="52">
        <f>D35*2*0.8</f>
        <v>32</v>
      </c>
      <c r="E37" s="10">
        <v>180</v>
      </c>
      <c r="F37" s="9">
        <f t="shared" si="2"/>
        <v>5760</v>
      </c>
    </row>
    <row r="38" spans="1:7" x14ac:dyDescent="0.25">
      <c r="A38" s="40">
        <v>37</v>
      </c>
      <c r="B38" s="6" t="s">
        <v>71</v>
      </c>
      <c r="C38" s="13" t="str">
        <f>VLOOKUP(B38,[1]Кровля!Прайс,2,FALSE)</f>
        <v>м2</v>
      </c>
      <c r="D38" s="52">
        <f>D37</f>
        <v>32</v>
      </c>
      <c r="E38" s="10">
        <v>353</v>
      </c>
      <c r="F38" s="9">
        <f t="shared" si="2"/>
        <v>11296</v>
      </c>
    </row>
    <row r="39" spans="1:7" x14ac:dyDescent="0.25">
      <c r="A39" s="40">
        <v>38</v>
      </c>
      <c r="B39" s="6" t="s">
        <v>72</v>
      </c>
      <c r="C39" s="13" t="str">
        <f>VLOOKUP(B39,[1]Кровля!Прайс,2,FALSE)</f>
        <v>компл</v>
      </c>
      <c r="D39" s="52">
        <f>D27</f>
        <v>300.59669640000004</v>
      </c>
      <c r="E39" s="10">
        <v>75</v>
      </c>
      <c r="F39" s="9">
        <f t="shared" si="2"/>
        <v>22544.752230000002</v>
      </c>
    </row>
    <row r="40" spans="1:7" x14ac:dyDescent="0.25">
      <c r="A40" s="40">
        <v>39</v>
      </c>
      <c r="B40" s="7" t="s">
        <v>4</v>
      </c>
      <c r="C40" s="14"/>
      <c r="D40" s="14"/>
      <c r="E40" s="11"/>
      <c r="F40" s="15">
        <f>SUM(F26:F39)</f>
        <v>491442.73640399997</v>
      </c>
      <c r="G40" s="54"/>
    </row>
    <row r="41" spans="1:7" ht="21.75" customHeight="1" x14ac:dyDescent="0.25">
      <c r="A41" s="40">
        <v>40</v>
      </c>
      <c r="B41" s="5" t="s">
        <v>38</v>
      </c>
      <c r="C41" s="12"/>
      <c r="D41" s="12"/>
      <c r="E41" s="8"/>
      <c r="F41" s="9"/>
    </row>
    <row r="42" spans="1:7" x14ac:dyDescent="0.25">
      <c r="A42" s="40">
        <v>41</v>
      </c>
      <c r="B42" s="6" t="s">
        <v>15</v>
      </c>
      <c r="C42" s="13" t="s">
        <v>12</v>
      </c>
      <c r="D42" s="13">
        <v>13</v>
      </c>
      <c r="E42" s="10">
        <v>5000</v>
      </c>
      <c r="F42" s="9">
        <f t="shared" ref="F42:F44" si="3">D42*E42</f>
        <v>65000</v>
      </c>
    </row>
    <row r="43" spans="1:7" x14ac:dyDescent="0.25">
      <c r="A43" s="40">
        <v>42</v>
      </c>
      <c r="B43" s="6" t="s">
        <v>16</v>
      </c>
      <c r="C43" s="13" t="s">
        <v>12</v>
      </c>
      <c r="D43" s="13">
        <v>4</v>
      </c>
      <c r="E43" s="10">
        <v>18000</v>
      </c>
      <c r="F43" s="9">
        <f t="shared" si="3"/>
        <v>72000</v>
      </c>
    </row>
    <row r="44" spans="1:7" x14ac:dyDescent="0.25">
      <c r="A44" s="40">
        <v>43</v>
      </c>
      <c r="B44" s="6" t="s">
        <v>26</v>
      </c>
      <c r="C44" s="13" t="s">
        <v>12</v>
      </c>
      <c r="D44" s="13">
        <v>17</v>
      </c>
      <c r="E44" s="10">
        <v>1000</v>
      </c>
      <c r="F44" s="9">
        <f t="shared" si="3"/>
        <v>17000</v>
      </c>
    </row>
    <row r="45" spans="1:7" x14ac:dyDescent="0.25">
      <c r="A45" s="40">
        <v>44</v>
      </c>
      <c r="B45" s="7" t="s">
        <v>4</v>
      </c>
      <c r="C45" s="14"/>
      <c r="D45" s="14"/>
      <c r="E45" s="11"/>
      <c r="F45" s="15">
        <f>SUM(F42:F44)</f>
        <v>154000</v>
      </c>
    </row>
    <row r="46" spans="1:7" ht="15.75" x14ac:dyDescent="0.25">
      <c r="A46" s="40">
        <v>45</v>
      </c>
      <c r="B46" s="5" t="s">
        <v>23</v>
      </c>
      <c r="C46" s="12"/>
      <c r="D46" s="12"/>
      <c r="E46" s="8"/>
      <c r="F46" s="9"/>
    </row>
    <row r="47" spans="1:7" x14ac:dyDescent="0.25">
      <c r="A47" s="40">
        <v>46</v>
      </c>
      <c r="B47" s="6" t="s">
        <v>14</v>
      </c>
      <c r="C47" s="13" t="s">
        <v>11</v>
      </c>
      <c r="D47" s="13">
        <f>(6*7+4.7*2+4.2+19.2*2)*2.8</f>
        <v>263.2</v>
      </c>
      <c r="E47" s="10">
        <v>1100</v>
      </c>
      <c r="F47" s="9">
        <f>D47*E47</f>
        <v>289520</v>
      </c>
    </row>
    <row r="48" spans="1:7" x14ac:dyDescent="0.25">
      <c r="A48" s="40">
        <v>47</v>
      </c>
      <c r="B48" s="6" t="s">
        <v>17</v>
      </c>
      <c r="C48" s="13" t="s">
        <v>11</v>
      </c>
      <c r="D48" s="13">
        <f>D47</f>
        <v>263.2</v>
      </c>
      <c r="E48" s="10">
        <v>120</v>
      </c>
      <c r="F48" s="9">
        <f>D48*E48</f>
        <v>31584</v>
      </c>
    </row>
    <row r="49" spans="1:7" x14ac:dyDescent="0.25">
      <c r="A49" s="40">
        <v>48</v>
      </c>
      <c r="B49" s="7" t="s">
        <v>4</v>
      </c>
      <c r="C49" s="14"/>
      <c r="D49" s="14"/>
      <c r="E49" s="11"/>
      <c r="F49" s="15">
        <f>SUM(F47:F48)</f>
        <v>321104</v>
      </c>
    </row>
    <row r="50" spans="1:7" ht="15.75" x14ac:dyDescent="0.25">
      <c r="A50" s="40">
        <v>49</v>
      </c>
      <c r="B50" s="5" t="s">
        <v>40</v>
      </c>
      <c r="C50" s="12"/>
      <c r="D50" s="12"/>
      <c r="E50" s="8"/>
      <c r="F50" s="9"/>
    </row>
    <row r="51" spans="1:7" x14ac:dyDescent="0.25">
      <c r="A51" s="40">
        <v>50</v>
      </c>
      <c r="B51" s="19" t="s">
        <v>34</v>
      </c>
      <c r="C51" s="13"/>
      <c r="D51" s="13"/>
      <c r="E51" s="10"/>
      <c r="F51" s="9"/>
    </row>
    <row r="52" spans="1:7" x14ac:dyDescent="0.25">
      <c r="A52" s="40">
        <v>51</v>
      </c>
      <c r="B52" s="6" t="s">
        <v>35</v>
      </c>
      <c r="C52" s="13" t="s">
        <v>11</v>
      </c>
      <c r="D52" s="13">
        <f>(2.6*4+2.35*4)*2.8</f>
        <v>55.44</v>
      </c>
      <c r="E52" s="10">
        <v>180</v>
      </c>
      <c r="F52" s="9">
        <f t="shared" ref="F52:F54" si="4">D52*E52</f>
        <v>9979.1999999999989</v>
      </c>
      <c r="G52" t="s">
        <v>84</v>
      </c>
    </row>
    <row r="53" spans="1:7" x14ac:dyDescent="0.25">
      <c r="A53" s="40">
        <v>52</v>
      </c>
      <c r="B53" s="6" t="s">
        <v>36</v>
      </c>
      <c r="C53" s="13" t="s">
        <v>11</v>
      </c>
      <c r="D53" s="13">
        <f>D52</f>
        <v>55.44</v>
      </c>
      <c r="E53" s="10">
        <v>95</v>
      </c>
      <c r="F53" s="9">
        <f t="shared" si="4"/>
        <v>5266.8</v>
      </c>
    </row>
    <row r="54" spans="1:7" x14ac:dyDescent="0.25">
      <c r="A54" s="40">
        <v>53</v>
      </c>
      <c r="B54" s="6" t="s">
        <v>37</v>
      </c>
      <c r="C54" s="13" t="s">
        <v>11</v>
      </c>
      <c r="D54" s="13">
        <f>D52</f>
        <v>55.44</v>
      </c>
      <c r="E54" s="10">
        <v>150</v>
      </c>
      <c r="F54" s="9">
        <f t="shared" si="4"/>
        <v>8316</v>
      </c>
    </row>
    <row r="55" spans="1:7" x14ac:dyDescent="0.25">
      <c r="A55" s="40">
        <v>54</v>
      </c>
      <c r="B55" s="19" t="s">
        <v>31</v>
      </c>
      <c r="C55" s="13"/>
      <c r="D55" s="13"/>
      <c r="E55" s="10"/>
      <c r="F55" s="9"/>
    </row>
    <row r="56" spans="1:7" x14ac:dyDescent="0.25">
      <c r="A56" s="40">
        <v>55</v>
      </c>
      <c r="B56" s="6" t="s">
        <v>24</v>
      </c>
      <c r="C56" s="13" t="s">
        <v>11</v>
      </c>
      <c r="D56" s="13">
        <f>260-D58-D61</f>
        <v>245.02</v>
      </c>
      <c r="E56" s="10">
        <v>100</v>
      </c>
      <c r="F56" s="9">
        <f>D56*E56</f>
        <v>24502</v>
      </c>
    </row>
    <row r="57" spans="1:7" x14ac:dyDescent="0.25">
      <c r="A57" s="40">
        <v>56</v>
      </c>
      <c r="B57" s="6" t="s">
        <v>46</v>
      </c>
      <c r="C57" s="13" t="s">
        <v>11</v>
      </c>
      <c r="D57" s="13">
        <v>260</v>
      </c>
      <c r="E57" s="10">
        <v>350</v>
      </c>
      <c r="F57" s="9">
        <f>D57*E57</f>
        <v>91000</v>
      </c>
    </row>
    <row r="58" spans="1:7" x14ac:dyDescent="0.25">
      <c r="A58" s="40">
        <v>57</v>
      </c>
      <c r="B58" s="6" t="s">
        <v>73</v>
      </c>
      <c r="C58" s="13" t="str">
        <f>VLOOKUP(B58,[1]Отделка!Прайс,2,FALSE)</f>
        <v>м2</v>
      </c>
      <c r="D58" s="13">
        <f>6.2+6.56</f>
        <v>12.76</v>
      </c>
      <c r="E58" s="10">
        <v>450</v>
      </c>
      <c r="F58" s="9">
        <f t="shared" ref="F58:F62" si="5">D58*E58</f>
        <v>5742</v>
      </c>
      <c r="G58" t="s">
        <v>85</v>
      </c>
    </row>
    <row r="59" spans="1:7" x14ac:dyDescent="0.25">
      <c r="A59" s="40">
        <v>58</v>
      </c>
      <c r="B59" s="6" t="s">
        <v>74</v>
      </c>
      <c r="C59" s="13" t="str">
        <f>VLOOKUP(B59,[1]Отделка!Прайс,2,FALSE)</f>
        <v>м2</v>
      </c>
      <c r="D59" s="13">
        <f>D58</f>
        <v>12.76</v>
      </c>
      <c r="E59" s="10">
        <v>599</v>
      </c>
      <c r="F59" s="9">
        <f t="shared" si="5"/>
        <v>7643.24</v>
      </c>
    </row>
    <row r="60" spans="1:7" x14ac:dyDescent="0.25">
      <c r="A60" s="40">
        <v>59</v>
      </c>
      <c r="B60" s="6" t="s">
        <v>75</v>
      </c>
      <c r="C60" s="13" t="str">
        <f>VLOOKUP(B60,[1]Отделка!Прайс,2,FALSE)</f>
        <v>кг</v>
      </c>
      <c r="D60" s="13">
        <f>D58*5</f>
        <v>63.8</v>
      </c>
      <c r="E60" s="10">
        <v>11.7</v>
      </c>
      <c r="F60" s="9">
        <f t="shared" si="5"/>
        <v>746.45999999999992</v>
      </c>
    </row>
    <row r="61" spans="1:7" x14ac:dyDescent="0.25">
      <c r="A61" s="40"/>
      <c r="B61" s="6" t="s">
        <v>103</v>
      </c>
      <c r="C61" s="13" t="str">
        <f>VLOOKUP(B61,[1]Отделка!Прайс,2,FALSE)</f>
        <v>м2</v>
      </c>
      <c r="D61" s="13">
        <v>2.2200000000000002</v>
      </c>
      <c r="E61" s="10">
        <v>360</v>
      </c>
      <c r="F61" s="9">
        <f t="shared" si="5"/>
        <v>799.2</v>
      </c>
    </row>
    <row r="62" spans="1:7" x14ac:dyDescent="0.25">
      <c r="A62" s="40"/>
      <c r="B62" s="6" t="s">
        <v>104</v>
      </c>
      <c r="C62" s="13" t="str">
        <f>VLOOKUP(B62,[1]Отделка!Прайс,2,FALSE)</f>
        <v>м2</v>
      </c>
      <c r="D62" s="13">
        <f>D61</f>
        <v>2.2200000000000002</v>
      </c>
      <c r="E62" s="10">
        <v>635.85</v>
      </c>
      <c r="F62" s="9">
        <f t="shared" si="5"/>
        <v>1411.5870000000002</v>
      </c>
    </row>
    <row r="63" spans="1:7" ht="15.75" x14ac:dyDescent="0.25">
      <c r="A63" s="40">
        <v>60</v>
      </c>
      <c r="B63" s="19" t="s">
        <v>39</v>
      </c>
      <c r="C63" s="12"/>
      <c r="D63" s="12"/>
      <c r="E63" s="8"/>
      <c r="F63" s="9"/>
    </row>
    <row r="64" spans="1:7" ht="18" customHeight="1" x14ac:dyDescent="0.25">
      <c r="A64" s="40">
        <v>61</v>
      </c>
      <c r="B64" s="6" t="s">
        <v>76</v>
      </c>
      <c r="C64" s="13" t="str">
        <f>VLOOKUP(B64,[1]Отделка!Прайс,2,FALSE)</f>
        <v>м2</v>
      </c>
      <c r="D64" s="13">
        <f>D59</f>
        <v>12.76</v>
      </c>
      <c r="E64" s="10">
        <v>180</v>
      </c>
      <c r="F64" s="9">
        <f t="shared" ref="F64:F65" si="6">D64*E64</f>
        <v>2296.8000000000002</v>
      </c>
      <c r="G64" t="s">
        <v>84</v>
      </c>
    </row>
    <row r="65" spans="1:6" x14ac:dyDescent="0.25">
      <c r="A65" s="40">
        <v>62</v>
      </c>
      <c r="B65" s="6" t="s">
        <v>86</v>
      </c>
      <c r="C65" s="13" t="s">
        <v>11</v>
      </c>
      <c r="D65" s="13">
        <f>D64</f>
        <v>12.76</v>
      </c>
      <c r="E65" s="10">
        <v>275</v>
      </c>
      <c r="F65" s="9">
        <f t="shared" si="6"/>
        <v>3509</v>
      </c>
    </row>
    <row r="66" spans="1:6" x14ac:dyDescent="0.25">
      <c r="A66" s="40">
        <v>63</v>
      </c>
      <c r="B66" s="7" t="s">
        <v>4</v>
      </c>
      <c r="C66" s="14"/>
      <c r="D66" s="14"/>
      <c r="E66" s="11"/>
      <c r="F66" s="15">
        <f>SUM(F51:F65)</f>
        <v>161212.28699999998</v>
      </c>
    </row>
    <row r="67" spans="1:6" ht="15.75" x14ac:dyDescent="0.25">
      <c r="A67" s="40">
        <v>64</v>
      </c>
      <c r="B67" s="5" t="s">
        <v>78</v>
      </c>
      <c r="C67" s="55"/>
      <c r="D67" s="55"/>
      <c r="E67" s="56"/>
      <c r="F67" s="57"/>
    </row>
    <row r="68" spans="1:6" x14ac:dyDescent="0.25">
      <c r="A68" s="40">
        <v>65</v>
      </c>
      <c r="B68" s="6" t="s">
        <v>79</v>
      </c>
      <c r="C68" s="13" t="str">
        <f>VLOOKUP(B68,'[1]Лестницы, крыльца'!Прайс,2,FALSE)</f>
        <v>тн</v>
      </c>
      <c r="D68" s="13">
        <v>0.6</v>
      </c>
      <c r="E68" s="10">
        <v>9000</v>
      </c>
      <c r="F68" s="9">
        <f t="shared" ref="F68" si="7">D68*E68</f>
        <v>5400</v>
      </c>
    </row>
    <row r="69" spans="1:6" x14ac:dyDescent="0.25">
      <c r="A69" s="40">
        <v>66</v>
      </c>
      <c r="B69" s="6" t="s">
        <v>87</v>
      </c>
      <c r="C69" s="13" t="s">
        <v>80</v>
      </c>
      <c r="D69" s="13">
        <v>0.6</v>
      </c>
      <c r="E69" s="10">
        <v>77000</v>
      </c>
      <c r="F69" s="9">
        <f>D69*E69</f>
        <v>46200</v>
      </c>
    </row>
    <row r="70" spans="1:6" x14ac:dyDescent="0.25">
      <c r="A70" s="40">
        <v>67</v>
      </c>
      <c r="B70" s="7" t="s">
        <v>4</v>
      </c>
      <c r="C70" s="13"/>
      <c r="D70" s="14"/>
      <c r="E70" s="11"/>
      <c r="F70" s="15">
        <f>SUM(F68:F69)</f>
        <v>51600</v>
      </c>
    </row>
    <row r="71" spans="1:6" ht="15.75" x14ac:dyDescent="0.25">
      <c r="A71" s="40">
        <v>68</v>
      </c>
      <c r="B71" s="5" t="s">
        <v>105</v>
      </c>
      <c r="C71" s="55"/>
      <c r="D71" s="55"/>
      <c r="E71" s="56"/>
      <c r="F71" s="57"/>
    </row>
    <row r="72" spans="1:6" x14ac:dyDescent="0.25">
      <c r="A72" s="40">
        <v>69</v>
      </c>
      <c r="B72" s="6" t="s">
        <v>106</v>
      </c>
      <c r="C72" s="13" t="s">
        <v>80</v>
      </c>
      <c r="D72" s="13">
        <v>0.4</v>
      </c>
      <c r="E72" s="10">
        <v>9000</v>
      </c>
      <c r="F72" s="9">
        <f t="shared" ref="F72:F73" si="8">D72*E72</f>
        <v>3600</v>
      </c>
    </row>
    <row r="73" spans="1:6" x14ac:dyDescent="0.25">
      <c r="A73" s="40">
        <v>70</v>
      </c>
      <c r="B73" s="6" t="s">
        <v>107</v>
      </c>
      <c r="C73" s="13" t="s">
        <v>80</v>
      </c>
      <c r="D73" s="13">
        <v>0.4</v>
      </c>
      <c r="E73" s="10">
        <v>50000</v>
      </c>
      <c r="F73" s="9">
        <f t="shared" si="8"/>
        <v>20000</v>
      </c>
    </row>
    <row r="74" spans="1:6" x14ac:dyDescent="0.25">
      <c r="A74" s="40">
        <v>71</v>
      </c>
      <c r="B74" s="6" t="s">
        <v>108</v>
      </c>
      <c r="C74" s="13" t="s">
        <v>11</v>
      </c>
      <c r="D74" s="13">
        <v>30</v>
      </c>
      <c r="E74" s="10">
        <v>1400</v>
      </c>
      <c r="F74" s="9">
        <f>D74*E74</f>
        <v>42000</v>
      </c>
    </row>
    <row r="75" spans="1:6" x14ac:dyDescent="0.25">
      <c r="A75" s="40">
        <v>72</v>
      </c>
      <c r="B75" s="6" t="s">
        <v>17</v>
      </c>
      <c r="C75" s="13" t="s">
        <v>11</v>
      </c>
      <c r="D75" s="13">
        <f>D74</f>
        <v>30</v>
      </c>
      <c r="E75" s="10">
        <v>180</v>
      </c>
      <c r="F75" s="9">
        <f>D75*E75</f>
        <v>5400</v>
      </c>
    </row>
    <row r="76" spans="1:6" x14ac:dyDescent="0.25">
      <c r="A76" s="40">
        <v>73</v>
      </c>
      <c r="B76" s="7" t="s">
        <v>4</v>
      </c>
      <c r="C76" s="13"/>
      <c r="D76" s="14"/>
      <c r="E76" s="11"/>
      <c r="F76" s="15">
        <f>SUM(F72:F75)</f>
        <v>71000</v>
      </c>
    </row>
    <row r="77" spans="1:6" ht="15.75" x14ac:dyDescent="0.25">
      <c r="A77" s="40">
        <v>68</v>
      </c>
      <c r="B77" s="25" t="s">
        <v>13</v>
      </c>
      <c r="C77" s="26"/>
      <c r="D77" s="26"/>
      <c r="E77" s="27"/>
      <c r="F77" s="28">
        <f>SUM(F10:F76)/2</f>
        <v>3200208.7634040001</v>
      </c>
    </row>
    <row r="78" spans="1:6" ht="15.75" x14ac:dyDescent="0.25">
      <c r="A78" s="40">
        <v>69</v>
      </c>
      <c r="B78" s="29" t="s">
        <v>88</v>
      </c>
      <c r="C78" s="53" t="s">
        <v>77</v>
      </c>
      <c r="D78" s="53">
        <v>1</v>
      </c>
      <c r="E78" s="30"/>
      <c r="F78" s="31">
        <f>F77*D78%</f>
        <v>32002.087634040003</v>
      </c>
    </row>
    <row r="79" spans="1:6" ht="21" x14ac:dyDescent="0.35">
      <c r="A79" s="40">
        <v>70</v>
      </c>
      <c r="B79" s="32" t="s">
        <v>19</v>
      </c>
      <c r="C79" s="33"/>
      <c r="D79" s="33"/>
      <c r="E79" s="34"/>
      <c r="F79" s="35">
        <f>F77+F78</f>
        <v>3232210.8510380401</v>
      </c>
    </row>
    <row r="80" spans="1:6" ht="15.75" x14ac:dyDescent="0.25">
      <c r="A80" s="40">
        <v>71</v>
      </c>
      <c r="B80" s="21" t="s">
        <v>89</v>
      </c>
      <c r="C80" s="12"/>
      <c r="D80" s="12"/>
      <c r="E80" s="8"/>
      <c r="F80" s="9"/>
    </row>
    <row r="81" spans="1:8" ht="15.75" x14ac:dyDescent="0.25">
      <c r="A81" s="40">
        <v>72</v>
      </c>
      <c r="B81" s="20" t="s">
        <v>41</v>
      </c>
      <c r="C81" s="13" t="s">
        <v>11</v>
      </c>
      <c r="D81" s="59">
        <f>F6</f>
        <v>273.269724</v>
      </c>
      <c r="E81" s="10">
        <v>550</v>
      </c>
      <c r="F81" s="9">
        <f>D81*E81</f>
        <v>150298.34820000001</v>
      </c>
    </row>
    <row r="82" spans="1:8" ht="15.75" x14ac:dyDescent="0.25">
      <c r="A82" s="40">
        <v>73</v>
      </c>
      <c r="B82" s="20" t="s">
        <v>20</v>
      </c>
      <c r="C82" s="13" t="s">
        <v>11</v>
      </c>
      <c r="D82" s="59">
        <f>D81</f>
        <v>273.269724</v>
      </c>
      <c r="E82" s="10">
        <f>E81*50%</f>
        <v>275</v>
      </c>
      <c r="F82" s="9">
        <f t="shared" ref="F82:F90" si="9">D82*E82</f>
        <v>75149.174100000004</v>
      </c>
    </row>
    <row r="83" spans="1:8" ht="15" customHeight="1" x14ac:dyDescent="0.25">
      <c r="A83" s="40">
        <v>74</v>
      </c>
      <c r="B83" s="24" t="s">
        <v>50</v>
      </c>
      <c r="C83" s="13" t="s">
        <v>11</v>
      </c>
      <c r="D83" s="59">
        <f t="shared" ref="D83:D86" si="10">D82</f>
        <v>273.269724</v>
      </c>
      <c r="E83" s="10">
        <v>150</v>
      </c>
      <c r="F83" s="9">
        <f t="shared" si="9"/>
        <v>40990.458599999998</v>
      </c>
    </row>
    <row r="84" spans="1:8" ht="15.75" x14ac:dyDescent="0.25">
      <c r="A84" s="40">
        <v>75</v>
      </c>
      <c r="B84" s="24" t="s">
        <v>32</v>
      </c>
      <c r="C84" s="13" t="s">
        <v>11</v>
      </c>
      <c r="D84" s="59">
        <f t="shared" si="10"/>
        <v>273.269724</v>
      </c>
      <c r="E84" s="10">
        <f>E83*50%</f>
        <v>75</v>
      </c>
      <c r="F84" s="9">
        <f t="shared" si="9"/>
        <v>20495.229299999999</v>
      </c>
    </row>
    <row r="85" spans="1:8" ht="15.75" x14ac:dyDescent="0.25">
      <c r="A85" s="40">
        <v>76</v>
      </c>
      <c r="B85" s="24" t="s">
        <v>42</v>
      </c>
      <c r="C85" s="13" t="s">
        <v>11</v>
      </c>
      <c r="D85" s="59">
        <f t="shared" si="10"/>
        <v>273.269724</v>
      </c>
      <c r="E85" s="10">
        <v>650</v>
      </c>
      <c r="F85" s="9">
        <f t="shared" si="9"/>
        <v>177625.32060000001</v>
      </c>
    </row>
    <row r="86" spans="1:8" ht="15.75" x14ac:dyDescent="0.25">
      <c r="A86" s="40">
        <v>77</v>
      </c>
      <c r="B86" s="24" t="s">
        <v>43</v>
      </c>
      <c r="C86" s="13" t="s">
        <v>11</v>
      </c>
      <c r="D86" s="59">
        <f t="shared" si="10"/>
        <v>273.269724</v>
      </c>
      <c r="E86" s="10">
        <f>E85*50%</f>
        <v>325</v>
      </c>
      <c r="F86" s="9">
        <f t="shared" si="9"/>
        <v>88812.660300000003</v>
      </c>
    </row>
    <row r="87" spans="1:8" ht="15.75" x14ac:dyDescent="0.25">
      <c r="A87" s="40"/>
      <c r="B87" s="24" t="s">
        <v>110</v>
      </c>
      <c r="C87" s="13" t="s">
        <v>11</v>
      </c>
      <c r="D87" s="59">
        <f>D86</f>
        <v>273.269724</v>
      </c>
      <c r="E87" s="10">
        <v>140</v>
      </c>
      <c r="F87" s="9">
        <f t="shared" si="9"/>
        <v>38257.761359999997</v>
      </c>
    </row>
    <row r="88" spans="1:8" ht="15.75" x14ac:dyDescent="0.25">
      <c r="A88" s="40"/>
      <c r="B88" s="24" t="s">
        <v>111</v>
      </c>
      <c r="C88" s="13" t="s">
        <v>11</v>
      </c>
      <c r="D88" s="59">
        <f t="shared" ref="D88:D90" si="11">D87</f>
        <v>273.269724</v>
      </c>
      <c r="E88" s="10">
        <f>E87*120%</f>
        <v>168</v>
      </c>
      <c r="F88" s="9">
        <f t="shared" si="9"/>
        <v>45909.313631999998</v>
      </c>
    </row>
    <row r="89" spans="1:8" ht="15.75" x14ac:dyDescent="0.25">
      <c r="A89" s="40"/>
      <c r="B89" s="24" t="s">
        <v>112</v>
      </c>
      <c r="C89" s="13" t="s">
        <v>11</v>
      </c>
      <c r="D89" s="59">
        <f t="shared" si="11"/>
        <v>273.269724</v>
      </c>
      <c r="E89" s="10">
        <v>80</v>
      </c>
      <c r="F89" s="9">
        <f t="shared" si="9"/>
        <v>21861.57792</v>
      </c>
    </row>
    <row r="90" spans="1:8" ht="15.75" x14ac:dyDescent="0.25">
      <c r="A90" s="40"/>
      <c r="B90" s="24" t="s">
        <v>113</v>
      </c>
      <c r="C90" s="13" t="s">
        <v>11</v>
      </c>
      <c r="D90" s="59">
        <f t="shared" si="11"/>
        <v>273.269724</v>
      </c>
      <c r="E90" s="10">
        <f>E89*120%</f>
        <v>96</v>
      </c>
      <c r="F90" s="9">
        <f t="shared" si="9"/>
        <v>26233.893504</v>
      </c>
    </row>
    <row r="91" spans="1:8" ht="15.75" x14ac:dyDescent="0.25">
      <c r="A91" s="40">
        <v>78</v>
      </c>
      <c r="B91" s="22" t="s">
        <v>4</v>
      </c>
      <c r="C91" s="13"/>
      <c r="D91" s="52"/>
      <c r="E91" s="10"/>
      <c r="F91" s="23">
        <f>SUM(F81:F90)</f>
        <v>685633.73751600005</v>
      </c>
    </row>
    <row r="92" spans="1:8" ht="15.75" x14ac:dyDescent="0.25">
      <c r="A92" s="40">
        <v>79</v>
      </c>
      <c r="B92" s="21" t="s">
        <v>90</v>
      </c>
      <c r="C92" s="13" t="s">
        <v>11</v>
      </c>
      <c r="D92" s="52">
        <f>F6</f>
        <v>273.269724</v>
      </c>
      <c r="E92" s="10">
        <v>730</v>
      </c>
      <c r="F92" s="23">
        <f>D92*E92</f>
        <v>199486.89851999999</v>
      </c>
    </row>
    <row r="93" spans="1:8" ht="18.75" x14ac:dyDescent="0.3">
      <c r="A93" s="40">
        <v>80</v>
      </c>
      <c r="B93" s="45" t="s">
        <v>91</v>
      </c>
      <c r="C93" s="36" t="s">
        <v>77</v>
      </c>
      <c r="D93" s="36">
        <v>5</v>
      </c>
      <c r="E93" s="37"/>
      <c r="F93" s="38">
        <f>(F79+F91)*D93%</f>
        <v>195892.22942770203</v>
      </c>
    </row>
    <row r="94" spans="1:8" ht="18.75" x14ac:dyDescent="0.3">
      <c r="A94" s="40">
        <v>81</v>
      </c>
      <c r="B94" s="45" t="s">
        <v>92</v>
      </c>
      <c r="C94" s="36" t="s">
        <v>18</v>
      </c>
      <c r="D94" s="36">
        <v>80</v>
      </c>
      <c r="E94" s="37">
        <v>2000</v>
      </c>
      <c r="F94" s="38">
        <f>D94*E94</f>
        <v>160000</v>
      </c>
    </row>
    <row r="95" spans="1:8" ht="15.75" x14ac:dyDescent="0.25">
      <c r="A95" s="40">
        <v>82</v>
      </c>
      <c r="B95" s="45" t="s">
        <v>93</v>
      </c>
      <c r="C95" s="46"/>
      <c r="D95" s="46"/>
      <c r="E95" s="47"/>
      <c r="F95" s="48">
        <f>SUM(F96:F101)</f>
        <v>192500</v>
      </c>
      <c r="G95" s="54"/>
      <c r="H95" s="54"/>
    </row>
    <row r="96" spans="1:8" x14ac:dyDescent="0.25">
      <c r="A96" s="40">
        <v>83</v>
      </c>
      <c r="B96" s="49" t="s">
        <v>51</v>
      </c>
      <c r="C96" s="50" t="s">
        <v>12</v>
      </c>
      <c r="D96" s="50">
        <v>4</v>
      </c>
      <c r="E96" s="66">
        <v>5000</v>
      </c>
      <c r="F96" s="51">
        <f>D96*E96</f>
        <v>20000</v>
      </c>
    </row>
    <row r="97" spans="1:8" x14ac:dyDescent="0.25">
      <c r="A97" s="40">
        <v>84</v>
      </c>
      <c r="B97" s="49" t="s">
        <v>52</v>
      </c>
      <c r="C97" s="50" t="s">
        <v>12</v>
      </c>
      <c r="D97" s="50">
        <v>3</v>
      </c>
      <c r="E97" s="66">
        <v>4000</v>
      </c>
      <c r="F97" s="51">
        <f t="shared" ref="F97:F98" si="12">D97*E97</f>
        <v>12000</v>
      </c>
    </row>
    <row r="98" spans="1:8" x14ac:dyDescent="0.25">
      <c r="A98" s="40">
        <v>85</v>
      </c>
      <c r="B98" s="49" t="s">
        <v>53</v>
      </c>
      <c r="C98" s="50" t="s">
        <v>11</v>
      </c>
      <c r="D98" s="50">
        <v>20</v>
      </c>
      <c r="E98" s="66">
        <v>1500</v>
      </c>
      <c r="F98" s="51">
        <f t="shared" si="12"/>
        <v>30000</v>
      </c>
    </row>
    <row r="99" spans="1:8" x14ac:dyDescent="0.25">
      <c r="A99" s="40">
        <v>135</v>
      </c>
      <c r="B99" s="64" t="s">
        <v>109</v>
      </c>
      <c r="C99" s="50" t="s">
        <v>12</v>
      </c>
      <c r="D99" s="50">
        <v>3</v>
      </c>
      <c r="E99" s="66">
        <v>12500</v>
      </c>
      <c r="F99" s="51">
        <f>D99*E99</f>
        <v>37500</v>
      </c>
    </row>
    <row r="100" spans="1:8" x14ac:dyDescent="0.25">
      <c r="A100" s="40">
        <v>136</v>
      </c>
      <c r="B100" s="64" t="s">
        <v>109</v>
      </c>
      <c r="C100" s="61" t="s">
        <v>12</v>
      </c>
      <c r="D100" s="62">
        <v>4</v>
      </c>
      <c r="E100" s="65">
        <v>17500</v>
      </c>
      <c r="F100" s="51">
        <f>D100*E100</f>
        <v>70000</v>
      </c>
    </row>
    <row r="101" spans="1:8" x14ac:dyDescent="0.25">
      <c r="A101" s="40"/>
      <c r="B101" s="64" t="s">
        <v>109</v>
      </c>
      <c r="C101" s="61" t="s">
        <v>12</v>
      </c>
      <c r="D101" s="62">
        <v>1</v>
      </c>
      <c r="E101" s="65">
        <v>23000</v>
      </c>
      <c r="F101" s="51">
        <f>D101*E101</f>
        <v>23000</v>
      </c>
    </row>
    <row r="102" spans="1:8" ht="15.75" x14ac:dyDescent="0.25">
      <c r="A102" s="40">
        <v>82</v>
      </c>
      <c r="B102" s="45" t="s">
        <v>94</v>
      </c>
      <c r="C102" s="63" t="s">
        <v>95</v>
      </c>
      <c r="D102" s="63">
        <f>C104</f>
        <v>5</v>
      </c>
      <c r="E102" s="67">
        <v>15000</v>
      </c>
      <c r="F102" s="48"/>
      <c r="G102" s="54"/>
      <c r="H102" s="54"/>
    </row>
    <row r="103" spans="1:8" ht="46.5" x14ac:dyDescent="0.25">
      <c r="A103" s="40">
        <v>138</v>
      </c>
      <c r="B103" s="16" t="s">
        <v>5</v>
      </c>
      <c r="C103" s="17"/>
      <c r="D103" s="17"/>
      <c r="E103" s="18"/>
      <c r="F103" s="39">
        <f>F79+F91+F93+F94+F92+F95+F102</f>
        <v>4665723.7165017426</v>
      </c>
    </row>
    <row r="104" spans="1:8" x14ac:dyDescent="0.25">
      <c r="A104" s="40">
        <v>139</v>
      </c>
      <c r="B104" s="42" t="s">
        <v>25</v>
      </c>
      <c r="C104" s="60">
        <v>5</v>
      </c>
      <c r="D104" s="71" t="s">
        <v>44</v>
      </c>
      <c r="E104" s="72"/>
      <c r="F104" s="43">
        <f>F103/F6</f>
        <v>17073.694254185812</v>
      </c>
    </row>
    <row r="105" spans="1:8" x14ac:dyDescent="0.25">
      <c r="A105"/>
      <c r="C105"/>
      <c r="D105"/>
      <c r="F105" s="1"/>
    </row>
    <row r="106" spans="1:8" x14ac:dyDescent="0.25">
      <c r="A106"/>
      <c r="C106"/>
      <c r="D106"/>
      <c r="F106" s="1"/>
    </row>
    <row r="107" spans="1:8" x14ac:dyDescent="0.25">
      <c r="A107"/>
      <c r="C107"/>
      <c r="D107"/>
      <c r="F107" s="1"/>
    </row>
    <row r="108" spans="1:8" x14ac:dyDescent="0.25">
      <c r="A108"/>
      <c r="C108"/>
      <c r="D108"/>
      <c r="F108" s="1"/>
    </row>
  </sheetData>
  <mergeCells count="9">
    <mergeCell ref="D1:F1"/>
    <mergeCell ref="A1:C1"/>
    <mergeCell ref="C2:F2"/>
    <mergeCell ref="C3:F3"/>
    <mergeCell ref="D104:E104"/>
    <mergeCell ref="C6:D6"/>
    <mergeCell ref="C4:F4"/>
    <mergeCell ref="C5:F5"/>
    <mergeCell ref="C7:F7"/>
  </mergeCells>
  <dataValidations count="5">
    <dataValidation type="list" allowBlank="1" showInputMessage="1" showErrorMessage="1" sqref="B26:B39">
      <formula1>кровля</formula1>
    </dataValidation>
    <dataValidation type="list" allowBlank="1" showInputMessage="1" showErrorMessage="1" sqref="B64:B65 B58:B62">
      <formula1>отделка</formula1>
    </dataValidation>
    <dataValidation type="list" allowBlank="1" showInputMessage="1" showErrorMessage="1" sqref="B68:B69 B72:B73">
      <formula1>лестницы</formula1>
    </dataValidation>
    <dataValidation type="list" allowBlank="1" showInputMessage="1" showErrorMessage="1" sqref="B67 B71">
      <formula1>прочие</formula1>
    </dataValidation>
    <dataValidation type="list" allowBlank="1" showInputMessage="1" showErrorMessage="1" sqref="B16:B23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2014-07-14T08:30:08Z</dcterms:modified>
</cp:coreProperties>
</file>