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11" i="1" l="1"/>
  <c r="I2" i="1" l="1"/>
  <c r="H2" i="1"/>
  <c r="G2" i="1"/>
  <c r="F102" i="1"/>
  <c r="D69" i="1" l="1"/>
  <c r="D62" i="1"/>
  <c r="D65" i="1"/>
  <c r="D63" i="1"/>
  <c r="D57" i="1"/>
  <c r="D52" i="1"/>
  <c r="D26" i="1" l="1"/>
  <c r="D25" i="1"/>
  <c r="D24" i="1"/>
  <c r="F23" i="1"/>
  <c r="D14" i="1"/>
  <c r="F6" i="1" l="1"/>
  <c r="C110" i="1" l="1"/>
  <c r="D34" i="1"/>
  <c r="F24" i="1"/>
  <c r="F25" i="1"/>
  <c r="D29" i="1"/>
  <c r="D30" i="1" l="1"/>
  <c r="D96" i="1"/>
  <c r="E92" i="1"/>
  <c r="E90" i="1"/>
  <c r="E88" i="1"/>
  <c r="E86" i="1"/>
  <c r="F108" i="1" l="1"/>
  <c r="F107" i="1"/>
  <c r="F106" i="1"/>
  <c r="F105" i="1"/>
  <c r="F104" i="1"/>
  <c r="F103" i="1"/>
  <c r="F101" i="1"/>
  <c r="F99" i="1"/>
  <c r="D74" i="1"/>
  <c r="D70" i="1"/>
  <c r="D73" i="1" l="1"/>
  <c r="D100" i="1" l="1"/>
  <c r="D85" i="1"/>
  <c r="F85" i="1" l="1"/>
  <c r="D86" i="1"/>
  <c r="F79" i="1"/>
  <c r="F78" i="1"/>
  <c r="F86" i="1" l="1"/>
  <c r="D87" i="1"/>
  <c r="F80" i="1"/>
  <c r="F48" i="1"/>
  <c r="F46" i="1"/>
  <c r="D40" i="1"/>
  <c r="D88" i="1" l="1"/>
  <c r="F87" i="1"/>
  <c r="D58" i="1"/>
  <c r="F58" i="1" s="1"/>
  <c r="D64" i="1"/>
  <c r="D53" i="1"/>
  <c r="F96" i="1"/>
  <c r="F74" i="1"/>
  <c r="F75" i="1"/>
  <c r="C73" i="1"/>
  <c r="F94" i="1"/>
  <c r="C69" i="1"/>
  <c r="C67" i="1"/>
  <c r="C65" i="1"/>
  <c r="C64" i="1"/>
  <c r="C63" i="1"/>
  <c r="D42" i="1"/>
  <c r="D32" i="1"/>
  <c r="C42" i="1"/>
  <c r="C41" i="1"/>
  <c r="C40" i="1"/>
  <c r="D39" i="1"/>
  <c r="F39" i="1" s="1"/>
  <c r="F38" i="1"/>
  <c r="C38" i="1"/>
  <c r="D37" i="1"/>
  <c r="C37" i="1"/>
  <c r="F36" i="1"/>
  <c r="C36" i="1"/>
  <c r="E34" i="1"/>
  <c r="C34" i="1"/>
  <c r="C33" i="1"/>
  <c r="C32" i="1"/>
  <c r="F35" i="1"/>
  <c r="C31" i="1"/>
  <c r="C30" i="1"/>
  <c r="C29" i="1"/>
  <c r="F26" i="1"/>
  <c r="F22" i="1"/>
  <c r="F21" i="1"/>
  <c r="F19" i="1"/>
  <c r="C15" i="1"/>
  <c r="F14" i="1"/>
  <c r="D12" i="1"/>
  <c r="F12" i="1" s="1"/>
  <c r="F10" i="1"/>
  <c r="D89" i="1" l="1"/>
  <c r="F88" i="1"/>
  <c r="D33" i="1"/>
  <c r="F33" i="1" s="1"/>
  <c r="F73" i="1"/>
  <c r="F76" i="1" s="1"/>
  <c r="F65" i="1"/>
  <c r="F64" i="1"/>
  <c r="F63" i="1"/>
  <c r="F69" i="1"/>
  <c r="F70" i="1"/>
  <c r="D66" i="1"/>
  <c r="D67" i="1"/>
  <c r="F67" i="1" s="1"/>
  <c r="D59" i="1"/>
  <c r="F59" i="1" s="1"/>
  <c r="F57" i="1"/>
  <c r="F37" i="1"/>
  <c r="F34" i="1"/>
  <c r="D15" i="1"/>
  <c r="F15" i="1" s="1"/>
  <c r="F32" i="1"/>
  <c r="F40" i="1"/>
  <c r="D41" i="1"/>
  <c r="F41" i="1" s="1"/>
  <c r="F42" i="1"/>
  <c r="F29" i="1"/>
  <c r="F30" i="1"/>
  <c r="D31" i="1"/>
  <c r="F31" i="1" s="1"/>
  <c r="F18" i="1"/>
  <c r="F20" i="1"/>
  <c r="D13" i="1"/>
  <c r="F13" i="1" s="1"/>
  <c r="F100" i="1" s="1"/>
  <c r="F11" i="1"/>
  <c r="F98" i="1"/>
  <c r="F97" i="1" l="1"/>
  <c r="F89" i="1"/>
  <c r="D90" i="1"/>
  <c r="D61" i="1"/>
  <c r="F61" i="1" s="1"/>
  <c r="F66" i="1"/>
  <c r="D91" i="1" l="1"/>
  <c r="F90" i="1"/>
  <c r="F62" i="1"/>
  <c r="F71" i="1" s="1"/>
  <c r="F16" i="1"/>
  <c r="D92" i="1" l="1"/>
  <c r="F92" i="1" s="1"/>
  <c r="F91" i="1"/>
  <c r="F27" i="1"/>
  <c r="F1" i="1"/>
  <c r="F49" i="1" l="1"/>
  <c r="F53" i="1"/>
  <c r="F45" i="1" l="1"/>
  <c r="F47" i="1"/>
  <c r="F50" i="1" l="1"/>
  <c r="F93" i="1" l="1"/>
  <c r="F52" i="1"/>
  <c r="F54" i="1" l="1"/>
  <c r="A1" i="1"/>
  <c r="F43" i="1" l="1"/>
  <c r="F81" i="1" s="1"/>
  <c r="F82" i="1" l="1"/>
  <c r="F83" i="1" s="1"/>
  <c r="F95" i="1" l="1"/>
  <c r="F109" i="1" s="1"/>
  <c r="F110" i="1" s="1"/>
</calcChain>
</file>

<file path=xl/sharedStrings.xml><?xml version="1.0" encoding="utf-8"?>
<sst xmlns="http://schemas.openxmlformats.org/spreadsheetml/2006/main" count="181" uniqueCount="124">
  <si>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</si>
  <si>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</si>
  <si>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</si>
  <si>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</si>
  <si>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</si>
  <si>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</si>
  <si>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</si>
  <si>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</si>
  <si>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</si>
  <si>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</si>
  <si>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</si>
  <si>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</si>
  <si>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</si>
  <si>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</si>
  <si>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</si>
  <si>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</si>
  <si>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</si>
  <si>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Цоколь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</si>
  <si>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</si>
  <si>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</si>
  <si>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</si>
  <si>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</si>
  <si>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</si>
  <si>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</si>
  <si>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</si>
  <si>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</si>
  <si>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</si>
  <si>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</si>
  <si>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</si>
  <si>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</si>
  <si>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</si>
  <si>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</si>
  <si>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</si>
  <si>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</si>
  <si>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</si>
  <si>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</si>
  <si>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</si>
  <si>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</si>
  <si>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</si>
  <si>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</si>
  <si>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</si>
  <si>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</si>
  <si>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</si>
  <si>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</si>
  <si>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</si>
  <si>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</si>
  <si>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</si>
  <si>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</si>
  <si>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</si>
  <si>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</si>
  <si>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</si>
  <si>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</si>
  <si>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</si>
  <si>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</si>
  <si>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</si>
  <si>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</si>
  <si>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</si>
  <si>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</si>
  <si>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</si>
  <si>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</si>
  <si>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</si>
  <si>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</si>
  <si>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</si>
  <si>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</si>
  <si>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</si>
  <si>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</si>
  <si>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</si>
  <si>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</si>
  <si>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</si>
  <si>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</si>
  <si>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</si>
  <si>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</si>
  <si>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</si>
  <si>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</si>
  <si>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</si>
  <si>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</si>
  <si>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</si>
  <si>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</si>
  <si>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</si>
  <si>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</si>
  <si>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</si>
  <si>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</si>
  <si>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</si>
  <si>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>Лестница для 2-х эт здания - 0,95тн</t>
  </si>
  <si>
    <t>Двери внутренние двухстворчатые</t>
  </si>
  <si>
    <t>Дверь входная двухстворчатая металлическая</t>
  </si>
  <si>
    <t>тн</t>
  </si>
  <si>
    <t xml:space="preserve">Раздел 10. Инженерные сети </t>
  </si>
  <si>
    <t>Раздел 11. Проектные работы</t>
  </si>
  <si>
    <t>Раздел 12. Накладные расходы</t>
  </si>
  <si>
    <t>Раздел 13. Аренда автокрана</t>
  </si>
  <si>
    <t>Раздел 14. Сантехническое оборудование:</t>
  </si>
  <si>
    <t>Кафель</t>
  </si>
  <si>
    <t>Неучтенные работы и материалы (около 2 %)</t>
  </si>
  <si>
    <t xml:space="preserve">Нотех дилер </t>
  </si>
  <si>
    <t>г. Владивосток</t>
  </si>
  <si>
    <t>Внутренняя высота:</t>
  </si>
  <si>
    <t>санузлы, душевые</t>
  </si>
  <si>
    <t>тамбура</t>
  </si>
  <si>
    <t>санузлы, душевые,  лестн.клетка</t>
  </si>
  <si>
    <t>Конструкции металлические крыльц -0,4тн</t>
  </si>
  <si>
    <t>Раковина + смеситель с обвязкой</t>
  </si>
  <si>
    <t>Электроконветор 1,5 кВт с термостатом</t>
  </si>
  <si>
    <t>Электрическая завеса 5кВт</t>
  </si>
  <si>
    <t>Насосная станция Unipump Акваробот JET 80LA</t>
  </si>
  <si>
    <t>Установка обеззараживания вводы</t>
  </si>
  <si>
    <t>Узел учёта холодной воды</t>
  </si>
  <si>
    <t>Септик 5 м3 с монтажём и присоединением под ключ</t>
  </si>
  <si>
    <t>SKAT LT-2330 LED светильник аварийного освещения</t>
  </si>
  <si>
    <t xml:space="preserve">Вентиляция (материалы) </t>
  </si>
  <si>
    <t>Вентиляция (монтаж)</t>
  </si>
  <si>
    <t>150/150/150</t>
  </si>
  <si>
    <t>Модуль без 1 длинной и 1короткой стороны, 6,229х2,434м, 150/150/150</t>
  </si>
  <si>
    <t>Модуль без 2 длинных и 1короткой стороны, 6,229х2,434м, 150/150/150</t>
  </si>
  <si>
    <t>Монтаж металлоконструкций усиленного пола</t>
  </si>
  <si>
    <t xml:space="preserve">Металлоконструкции </t>
  </si>
  <si>
    <t>Ёмкость ПВХ, 5000л</t>
  </si>
  <si>
    <t>МЗ - Штаб</t>
  </si>
  <si>
    <t>-</t>
  </si>
  <si>
    <t>Модуль полный, 6,229х2,434м, 150/150/150</t>
  </si>
  <si>
    <t>Кассета кровли, б=150мм</t>
  </si>
  <si>
    <t>Кассета пола, б=150мм</t>
  </si>
  <si>
    <t>Раздел 9. Конструкции усиленного пола</t>
  </si>
  <si>
    <t>Водонагреватель TI 10/L ARISTON 10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</si>
</sst>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4" fontId="2" fillId="2" borderId="4" xfId="1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zoomScaleNormal="100" workbookViewId="0">
      <pane ySplit="8" topLeftCell="A96" activePane="bottomLeft" state="frozen"/>
      <selection pane="bottomLeft" activeCell="F110" sqref="F110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9" ht="31.5" customHeight="1" x14ac:dyDescent="0.25">
      <c r="A1" s="69" t="str">
        <f>C2</f>
        <v>МЗ - Штаб</v>
      </c>
      <c r="B1" s="69"/>
      <c r="C1" s="69"/>
      <c r="D1" s="69"/>
      <c r="E1" s="69"/>
      <c r="F1" s="45" t="str">
        <f>C3</f>
        <v xml:space="preserve">Нотех дилер </v>
      </c>
    </row>
    <row r="2" spans="1:9" x14ac:dyDescent="0.25">
      <c r="A2" s="40">
        <v>1</v>
      </c>
      <c r="B2" s="41" t="s">
        <v>2</v>
      </c>
      <c r="C2" s="68" t="s">
        <v>117</v>
      </c>
      <c r="D2" s="68"/>
      <c r="E2" s="68"/>
      <c r="F2" s="68"/>
      <c r="G2">
        <f>F6*0.3</f>
        <v>135.82592099999999</v>
      </c>
      <c r="H2">
        <f>(31.823*2+14.892*2)*2.5*0.15</f>
        <v>35.036250000000003</v>
      </c>
      <c r="I2">
        <f>D52*0.1</f>
        <v>40.480000000000004</v>
      </c>
    </row>
    <row r="3" spans="1:9" x14ac:dyDescent="0.25">
      <c r="A3" s="40">
        <v>2</v>
      </c>
      <c r="B3" s="41" t="s">
        <v>0</v>
      </c>
      <c r="C3" s="68" t="s">
        <v>94</v>
      </c>
      <c r="D3" s="68"/>
      <c r="E3" s="68"/>
      <c r="F3" s="68"/>
    </row>
    <row r="4" spans="1:9" ht="14.25" customHeight="1" x14ac:dyDescent="0.25">
      <c r="A4" s="40">
        <v>3</v>
      </c>
      <c r="B4" s="41" t="s">
        <v>1</v>
      </c>
      <c r="C4" s="71" t="s">
        <v>95</v>
      </c>
      <c r="D4" s="72"/>
      <c r="E4" s="72"/>
      <c r="F4" s="73"/>
    </row>
    <row r="5" spans="1:9" ht="15.75" customHeight="1" x14ac:dyDescent="0.25">
      <c r="A5" s="40">
        <v>4</v>
      </c>
      <c r="B5" s="41" t="s">
        <v>96</v>
      </c>
      <c r="C5" s="71">
        <v>2.2000000000000002</v>
      </c>
      <c r="D5" s="72"/>
      <c r="E5" s="72"/>
      <c r="F5" s="73"/>
    </row>
    <row r="6" spans="1:9" ht="17.25" customHeight="1" x14ac:dyDescent="0.25">
      <c r="A6" s="40">
        <v>5</v>
      </c>
      <c r="B6" s="41" t="s">
        <v>50</v>
      </c>
      <c r="C6" s="68" t="s">
        <v>111</v>
      </c>
      <c r="D6" s="68"/>
      <c r="E6" s="44" t="s">
        <v>49</v>
      </c>
      <c r="F6" s="62">
        <f>29.381*14.892+2.442*6.229</f>
        <v>452.75306999999998</v>
      </c>
    </row>
    <row r="7" spans="1:9" x14ac:dyDescent="0.25">
      <c r="A7" s="40">
        <v>6</v>
      </c>
      <c r="B7" s="41" t="s">
        <v>3</v>
      </c>
      <c r="C7" s="71" t="s">
        <v>118</v>
      </c>
      <c r="D7" s="72"/>
      <c r="E7" s="72"/>
      <c r="F7" s="73"/>
    </row>
    <row r="8" spans="1:9" ht="37.5" x14ac:dyDescent="0.25">
      <c r="A8" s="40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9" ht="18.75" x14ac:dyDescent="0.25">
      <c r="A9" s="40">
        <v>8</v>
      </c>
      <c r="B9" s="5" t="s">
        <v>35</v>
      </c>
      <c r="C9" s="4"/>
      <c r="D9" s="4"/>
      <c r="E9" s="4"/>
      <c r="F9" s="4"/>
    </row>
    <row r="10" spans="1:9" x14ac:dyDescent="0.25">
      <c r="A10" s="40">
        <v>9</v>
      </c>
      <c r="B10" s="6" t="s">
        <v>29</v>
      </c>
      <c r="C10" s="13" t="s">
        <v>30</v>
      </c>
      <c r="D10" s="13">
        <v>8</v>
      </c>
      <c r="E10" s="10">
        <v>170</v>
      </c>
      <c r="F10" s="9">
        <f>D10*E10</f>
        <v>1360</v>
      </c>
    </row>
    <row r="11" spans="1:9" x14ac:dyDescent="0.25">
      <c r="A11" s="40">
        <v>10</v>
      </c>
      <c r="B11" s="6" t="s">
        <v>53</v>
      </c>
      <c r="C11" s="13" t="s">
        <v>13</v>
      </c>
      <c r="D11" s="13">
        <f>13*4+4</f>
        <v>56</v>
      </c>
      <c r="E11" s="10">
        <v>5500</v>
      </c>
      <c r="F11" s="9">
        <f t="shared" ref="F11:F15" si="0">D11*E11</f>
        <v>308000</v>
      </c>
    </row>
    <row r="12" spans="1:9" x14ac:dyDescent="0.25">
      <c r="A12" s="40">
        <v>11</v>
      </c>
      <c r="B12" s="6" t="s">
        <v>31</v>
      </c>
      <c r="C12" s="13" t="s">
        <v>20</v>
      </c>
      <c r="D12" s="13">
        <f>0.5*D11</f>
        <v>28</v>
      </c>
      <c r="E12" s="10">
        <v>2000</v>
      </c>
      <c r="F12" s="9">
        <f t="shared" si="0"/>
        <v>56000</v>
      </c>
    </row>
    <row r="13" spans="1:9" x14ac:dyDescent="0.25">
      <c r="A13" s="40">
        <v>12</v>
      </c>
      <c r="B13" s="6" t="s">
        <v>32</v>
      </c>
      <c r="C13" s="13" t="s">
        <v>13</v>
      </c>
      <c r="D13" s="13">
        <f>D11</f>
        <v>56</v>
      </c>
      <c r="E13" s="10">
        <v>250</v>
      </c>
      <c r="F13" s="9">
        <f t="shared" si="0"/>
        <v>14000</v>
      </c>
    </row>
    <row r="14" spans="1:9" x14ac:dyDescent="0.25">
      <c r="A14" s="40">
        <v>13</v>
      </c>
      <c r="B14" s="6" t="s">
        <v>54</v>
      </c>
      <c r="C14" s="13" t="s">
        <v>11</v>
      </c>
      <c r="D14" s="54">
        <f>18.4*(29.68*2+14.892*3)/1000</f>
        <v>1.9142623999999999</v>
      </c>
      <c r="E14" s="10">
        <v>7000</v>
      </c>
      <c r="F14" s="55">
        <f t="shared" si="0"/>
        <v>13399.836799999999</v>
      </c>
    </row>
    <row r="15" spans="1:9" x14ac:dyDescent="0.25">
      <c r="A15" s="40">
        <v>14</v>
      </c>
      <c r="B15" s="6" t="s">
        <v>55</v>
      </c>
      <c r="C15" s="13" t="str">
        <f>VLOOKUP(B15,[1]Фундаменты!Прайс,2,FALSE)</f>
        <v>тн</v>
      </c>
      <c r="D15" s="54">
        <f>D14</f>
        <v>1.9142623999999999</v>
      </c>
      <c r="E15" s="10">
        <v>33500</v>
      </c>
      <c r="F15" s="55">
        <f t="shared" si="0"/>
        <v>64127.790399999998</v>
      </c>
    </row>
    <row r="16" spans="1:9" x14ac:dyDescent="0.25">
      <c r="A16" s="40">
        <v>15</v>
      </c>
      <c r="B16" s="7" t="s">
        <v>4</v>
      </c>
      <c r="C16" s="14"/>
      <c r="D16" s="14"/>
      <c r="E16" s="11"/>
      <c r="F16" s="15">
        <f>SUM(F10:F15)</f>
        <v>456887.62719999999</v>
      </c>
    </row>
    <row r="17" spans="1:6" ht="18.75" x14ac:dyDescent="0.25">
      <c r="A17" s="40">
        <v>16</v>
      </c>
      <c r="B17" s="5" t="s">
        <v>23</v>
      </c>
      <c r="C17" s="4"/>
      <c r="D17" s="4"/>
      <c r="E17" s="4"/>
      <c r="F17" s="4"/>
    </row>
    <row r="18" spans="1:6" x14ac:dyDescent="0.25">
      <c r="A18" s="40">
        <v>17</v>
      </c>
      <c r="B18" s="6" t="s">
        <v>56</v>
      </c>
      <c r="C18" s="13" t="s">
        <v>59</v>
      </c>
      <c r="D18" s="13">
        <v>25</v>
      </c>
      <c r="E18" s="10">
        <v>2000</v>
      </c>
      <c r="F18" s="9">
        <f>D18*E18</f>
        <v>50000</v>
      </c>
    </row>
    <row r="19" spans="1:6" x14ac:dyDescent="0.25">
      <c r="A19" s="40">
        <v>18</v>
      </c>
      <c r="B19" s="6" t="s">
        <v>57</v>
      </c>
      <c r="C19" s="13" t="s">
        <v>59</v>
      </c>
      <c r="D19" s="13">
        <v>25</v>
      </c>
      <c r="E19" s="10">
        <v>2000</v>
      </c>
      <c r="F19" s="9">
        <f>D19*E19</f>
        <v>50000</v>
      </c>
    </row>
    <row r="20" spans="1:6" x14ac:dyDescent="0.25">
      <c r="A20" s="40">
        <v>19</v>
      </c>
      <c r="B20" s="6" t="s">
        <v>58</v>
      </c>
      <c r="C20" s="13" t="s">
        <v>59</v>
      </c>
      <c r="D20" s="13">
        <v>0</v>
      </c>
      <c r="E20" s="10">
        <v>3000</v>
      </c>
      <c r="F20" s="9">
        <f t="shared" ref="F20" si="1">D20*E20</f>
        <v>0</v>
      </c>
    </row>
    <row r="21" spans="1:6" ht="30" x14ac:dyDescent="0.25">
      <c r="A21" s="40">
        <v>20</v>
      </c>
      <c r="B21" s="6" t="s">
        <v>112</v>
      </c>
      <c r="C21" s="13" t="s">
        <v>59</v>
      </c>
      <c r="D21" s="13">
        <v>4</v>
      </c>
      <c r="E21" s="10">
        <v>138328</v>
      </c>
      <c r="F21" s="9">
        <f>D21*E21</f>
        <v>553312</v>
      </c>
    </row>
    <row r="22" spans="1:6" ht="30" x14ac:dyDescent="0.25">
      <c r="A22" s="40">
        <v>21</v>
      </c>
      <c r="B22" s="6" t="s">
        <v>113</v>
      </c>
      <c r="C22" s="13" t="s">
        <v>59</v>
      </c>
      <c r="D22" s="13">
        <v>20</v>
      </c>
      <c r="E22" s="10">
        <v>122958</v>
      </c>
      <c r="F22" s="9">
        <f t="shared" ref="F22:F26" si="2">D22*E22</f>
        <v>2459160</v>
      </c>
    </row>
    <row r="23" spans="1:6" x14ac:dyDescent="0.25">
      <c r="A23" s="40">
        <v>22</v>
      </c>
      <c r="B23" s="6" t="s">
        <v>119</v>
      </c>
      <c r="C23" s="13" t="s">
        <v>59</v>
      </c>
      <c r="D23" s="13">
        <v>1</v>
      </c>
      <c r="E23" s="10">
        <v>155250</v>
      </c>
      <c r="F23" s="9">
        <f>D23*E23</f>
        <v>155250</v>
      </c>
    </row>
    <row r="24" spans="1:6" x14ac:dyDescent="0.25">
      <c r="A24" s="40">
        <v>23</v>
      </c>
      <c r="B24" s="6" t="s">
        <v>120</v>
      </c>
      <c r="C24" s="13" t="s">
        <v>12</v>
      </c>
      <c r="D24" s="56">
        <f>(29.38*2.434)</f>
        <v>71.510919999999999</v>
      </c>
      <c r="E24" s="10">
        <v>2750</v>
      </c>
      <c r="F24" s="9">
        <f t="shared" si="2"/>
        <v>196655.03</v>
      </c>
    </row>
    <row r="25" spans="1:6" x14ac:dyDescent="0.25">
      <c r="A25" s="40">
        <v>24</v>
      </c>
      <c r="B25" s="6" t="s">
        <v>121</v>
      </c>
      <c r="C25" s="13" t="s">
        <v>12</v>
      </c>
      <c r="D25" s="56">
        <f>D24</f>
        <v>71.510919999999999</v>
      </c>
      <c r="E25" s="10">
        <v>2750</v>
      </c>
      <c r="F25" s="9">
        <f t="shared" si="2"/>
        <v>196655.03</v>
      </c>
    </row>
    <row r="26" spans="1:6" x14ac:dyDescent="0.25">
      <c r="A26" s="40">
        <v>25</v>
      </c>
      <c r="B26" s="6" t="s">
        <v>17</v>
      </c>
      <c r="C26" s="13" t="s">
        <v>12</v>
      </c>
      <c r="D26" s="56">
        <f>(31.823*2+14.892*2)*0.7</f>
        <v>65.400999999999996</v>
      </c>
      <c r="E26" s="10">
        <v>600</v>
      </c>
      <c r="F26" s="9">
        <f t="shared" si="2"/>
        <v>39240.6</v>
      </c>
    </row>
    <row r="27" spans="1:6" x14ac:dyDescent="0.25">
      <c r="A27" s="40">
        <v>26</v>
      </c>
      <c r="B27" s="7" t="s">
        <v>4</v>
      </c>
      <c r="C27" s="14"/>
      <c r="D27" s="14"/>
      <c r="E27" s="11"/>
      <c r="F27" s="15">
        <f>SUM(F18:F26)</f>
        <v>3700272.6599999997</v>
      </c>
    </row>
    <row r="28" spans="1:6" ht="15.75" x14ac:dyDescent="0.25">
      <c r="A28" s="40">
        <v>27</v>
      </c>
      <c r="B28" s="5" t="s">
        <v>24</v>
      </c>
      <c r="C28" s="12"/>
      <c r="D28" s="12"/>
      <c r="E28" s="8"/>
      <c r="F28" s="9"/>
    </row>
    <row r="29" spans="1:6" x14ac:dyDescent="0.25">
      <c r="A29" s="40">
        <v>28</v>
      </c>
      <c r="B29" s="6" t="s">
        <v>60</v>
      </c>
      <c r="C29" s="13" t="str">
        <f>VLOOKUP(B29,[2]Кровля!Прайс,2,FALSE)</f>
        <v>тн</v>
      </c>
      <c r="D29" s="56">
        <f>0.015*F6</f>
        <v>6.7912960499999997</v>
      </c>
      <c r="E29" s="10">
        <v>42000</v>
      </c>
      <c r="F29" s="9">
        <f>D29*E29</f>
        <v>285234.43410000001</v>
      </c>
    </row>
    <row r="30" spans="1:6" x14ac:dyDescent="0.25">
      <c r="A30" s="40">
        <v>29</v>
      </c>
      <c r="B30" s="6" t="s">
        <v>47</v>
      </c>
      <c r="C30" s="13" t="str">
        <f>VLOOKUP(B30,[2]Кровля!Прайс,2,FALSE)</f>
        <v>м2</v>
      </c>
      <c r="D30" s="56">
        <f>1.1*F6</f>
        <v>498.02837700000003</v>
      </c>
      <c r="E30" s="10">
        <v>370</v>
      </c>
      <c r="F30" s="9">
        <f t="shared" ref="F30:F42" si="3">D30*E30</f>
        <v>184270.49949000002</v>
      </c>
    </row>
    <row r="31" spans="1:6" x14ac:dyDescent="0.25">
      <c r="A31" s="40">
        <v>30</v>
      </c>
      <c r="B31" s="6" t="s">
        <v>61</v>
      </c>
      <c r="C31" s="13" t="str">
        <f>VLOOKUP(B31,[2]Кровля!Прайс,2,FALSE)</f>
        <v>м3</v>
      </c>
      <c r="D31" s="56">
        <f>D30*0.04/4</f>
        <v>4.9802837700000007</v>
      </c>
      <c r="E31" s="10">
        <v>6500</v>
      </c>
      <c r="F31" s="9">
        <f t="shared" si="3"/>
        <v>32371.844505000005</v>
      </c>
    </row>
    <row r="32" spans="1:6" x14ac:dyDescent="0.25">
      <c r="A32" s="40">
        <v>31</v>
      </c>
      <c r="B32" s="6" t="s">
        <v>64</v>
      </c>
      <c r="C32" s="13" t="str">
        <f>VLOOKUP(B32,[2]Кровля!Прайс,2,FALSE)</f>
        <v>тн</v>
      </c>
      <c r="D32" s="56">
        <f>D29</f>
        <v>6.7912960499999997</v>
      </c>
      <c r="E32" s="10">
        <v>7000</v>
      </c>
      <c r="F32" s="9">
        <f t="shared" si="3"/>
        <v>47539.072349999995</v>
      </c>
    </row>
    <row r="33" spans="1:7" x14ac:dyDescent="0.25">
      <c r="A33" s="40">
        <v>32</v>
      </c>
      <c r="B33" s="6" t="s">
        <v>65</v>
      </c>
      <c r="C33" s="13" t="str">
        <f>VLOOKUP(B33,[2]Кровля!Прайс,2,FALSE)</f>
        <v>м2</v>
      </c>
      <c r="D33" s="56">
        <f>D30</f>
        <v>498.02837700000003</v>
      </c>
      <c r="E33" s="10">
        <v>250</v>
      </c>
      <c r="F33" s="9">
        <f t="shared" si="3"/>
        <v>124507.09425000001</v>
      </c>
    </row>
    <row r="34" spans="1:7" x14ac:dyDescent="0.25">
      <c r="A34" s="40">
        <v>33</v>
      </c>
      <c r="B34" s="6" t="s">
        <v>66</v>
      </c>
      <c r="C34" s="13" t="str">
        <f>VLOOKUP(B34,[2]Кровля!Прайс,2,FALSE)</f>
        <v>м</v>
      </c>
      <c r="D34" s="56">
        <f>D35</f>
        <v>32</v>
      </c>
      <c r="E34" s="10">
        <f>E35*40%</f>
        <v>260</v>
      </c>
      <c r="F34" s="9">
        <f t="shared" si="3"/>
        <v>8320</v>
      </c>
    </row>
    <row r="35" spans="1:7" x14ac:dyDescent="0.25">
      <c r="A35" s="40">
        <v>34</v>
      </c>
      <c r="B35" s="6" t="s">
        <v>62</v>
      </c>
      <c r="C35" s="13" t="s">
        <v>63</v>
      </c>
      <c r="D35" s="56">
        <v>32</v>
      </c>
      <c r="E35" s="10">
        <v>650</v>
      </c>
      <c r="F35" s="9">
        <f>D35*E35</f>
        <v>20800</v>
      </c>
    </row>
    <row r="36" spans="1:7" x14ac:dyDescent="0.25">
      <c r="A36" s="40">
        <v>35</v>
      </c>
      <c r="B36" s="6" t="s">
        <v>67</v>
      </c>
      <c r="C36" s="13" t="str">
        <f>VLOOKUP(B36,[1]Кровля!Прайс,2,FALSE)</f>
        <v>шт</v>
      </c>
      <c r="D36" s="56">
        <v>4</v>
      </c>
      <c r="E36" s="10">
        <v>250</v>
      </c>
      <c r="F36" s="9">
        <f t="shared" si="3"/>
        <v>1000</v>
      </c>
    </row>
    <row r="37" spans="1:7" x14ac:dyDescent="0.25">
      <c r="A37" s="40">
        <v>36</v>
      </c>
      <c r="B37" s="6" t="s">
        <v>68</v>
      </c>
      <c r="C37" s="13" t="str">
        <f>VLOOKUP(B37,[1]Кровля!Прайс,2,FALSE)</f>
        <v>шт</v>
      </c>
      <c r="D37" s="56">
        <f>D36</f>
        <v>4</v>
      </c>
      <c r="E37" s="10">
        <v>360</v>
      </c>
      <c r="F37" s="9">
        <f t="shared" si="3"/>
        <v>1440</v>
      </c>
    </row>
    <row r="38" spans="1:7" x14ac:dyDescent="0.25">
      <c r="A38" s="40">
        <v>37</v>
      </c>
      <c r="B38" s="6" t="s">
        <v>69</v>
      </c>
      <c r="C38" s="13" t="str">
        <f>VLOOKUP(B38,[1]Кровля!Прайс,2,FALSE)</f>
        <v>м</v>
      </c>
      <c r="D38" s="56">
        <v>30</v>
      </c>
      <c r="E38" s="10">
        <v>120</v>
      </c>
      <c r="F38" s="9">
        <f t="shared" si="3"/>
        <v>3600</v>
      </c>
    </row>
    <row r="39" spans="1:7" x14ac:dyDescent="0.25">
      <c r="A39" s="40">
        <v>38</v>
      </c>
      <c r="B39" s="6" t="s">
        <v>70</v>
      </c>
      <c r="C39" s="13" t="s">
        <v>12</v>
      </c>
      <c r="D39" s="56">
        <f>D38*0.4</f>
        <v>12</v>
      </c>
      <c r="E39" s="10">
        <v>480</v>
      </c>
      <c r="F39" s="9">
        <f t="shared" si="3"/>
        <v>5760</v>
      </c>
    </row>
    <row r="40" spans="1:7" x14ac:dyDescent="0.25">
      <c r="A40" s="40">
        <v>39</v>
      </c>
      <c r="B40" s="6" t="s">
        <v>71</v>
      </c>
      <c r="C40" s="13" t="str">
        <f>VLOOKUP(B40,[1]Кровля!Прайс,2,FALSE)</f>
        <v>м2</v>
      </c>
      <c r="D40" s="56">
        <f>D38*2*0.8</f>
        <v>48</v>
      </c>
      <c r="E40" s="10">
        <v>180</v>
      </c>
      <c r="F40" s="9">
        <f t="shared" si="3"/>
        <v>8640</v>
      </c>
    </row>
    <row r="41" spans="1:7" x14ac:dyDescent="0.25">
      <c r="A41" s="40">
        <v>40</v>
      </c>
      <c r="B41" s="6" t="s">
        <v>72</v>
      </c>
      <c r="C41" s="13" t="str">
        <f>VLOOKUP(B41,[1]Кровля!Прайс,2,FALSE)</f>
        <v>м2</v>
      </c>
      <c r="D41" s="56">
        <f>D40</f>
        <v>48</v>
      </c>
      <c r="E41" s="10">
        <v>353</v>
      </c>
      <c r="F41" s="9">
        <f t="shared" si="3"/>
        <v>16944</v>
      </c>
    </row>
    <row r="42" spans="1:7" x14ac:dyDescent="0.25">
      <c r="A42" s="40">
        <v>41</v>
      </c>
      <c r="B42" s="6" t="s">
        <v>73</v>
      </c>
      <c r="C42" s="13" t="str">
        <f>VLOOKUP(B42,[1]Кровля!Прайс,2,FALSE)</f>
        <v>компл</v>
      </c>
      <c r="D42" s="56">
        <f>D30</f>
        <v>498.02837700000003</v>
      </c>
      <c r="E42" s="10">
        <v>75</v>
      </c>
      <c r="F42" s="9">
        <f t="shared" si="3"/>
        <v>37352.128275000003</v>
      </c>
    </row>
    <row r="43" spans="1:7" x14ac:dyDescent="0.25">
      <c r="A43" s="40">
        <v>42</v>
      </c>
      <c r="B43" s="7" t="s">
        <v>4</v>
      </c>
      <c r="C43" s="14"/>
      <c r="D43" s="14"/>
      <c r="E43" s="11"/>
      <c r="F43" s="15">
        <f>SUM(F29:F42)</f>
        <v>777779.07296999998</v>
      </c>
      <c r="G43" s="58"/>
    </row>
    <row r="44" spans="1:7" ht="21.75" customHeight="1" x14ac:dyDescent="0.25">
      <c r="A44" s="40">
        <v>43</v>
      </c>
      <c r="B44" s="5" t="s">
        <v>40</v>
      </c>
      <c r="C44" s="12"/>
      <c r="D44" s="12"/>
      <c r="E44" s="8"/>
      <c r="F44" s="9"/>
    </row>
    <row r="45" spans="1:7" x14ac:dyDescent="0.25">
      <c r="A45" s="40">
        <v>44</v>
      </c>
      <c r="B45" s="6" t="s">
        <v>16</v>
      </c>
      <c r="C45" s="13" t="s">
        <v>13</v>
      </c>
      <c r="D45" s="13">
        <v>23</v>
      </c>
      <c r="E45" s="10">
        <v>5000</v>
      </c>
      <c r="F45" s="9">
        <f t="shared" ref="F45:F49" si="4">D45*E45</f>
        <v>115000</v>
      </c>
    </row>
    <row r="46" spans="1:7" x14ac:dyDescent="0.25">
      <c r="A46" s="40">
        <v>45</v>
      </c>
      <c r="B46" s="6" t="s">
        <v>84</v>
      </c>
      <c r="C46" s="13" t="s">
        <v>13</v>
      </c>
      <c r="D46" s="13">
        <v>0</v>
      </c>
      <c r="E46" s="10">
        <v>8500</v>
      </c>
      <c r="F46" s="9">
        <f t="shared" si="4"/>
        <v>0</v>
      </c>
    </row>
    <row r="47" spans="1:7" x14ac:dyDescent="0.25">
      <c r="A47" s="40">
        <v>46</v>
      </c>
      <c r="B47" s="6" t="s">
        <v>18</v>
      </c>
      <c r="C47" s="13" t="s">
        <v>13</v>
      </c>
      <c r="D47" s="13">
        <v>3</v>
      </c>
      <c r="E47" s="10">
        <v>18000</v>
      </c>
      <c r="F47" s="9">
        <f t="shared" si="4"/>
        <v>54000</v>
      </c>
    </row>
    <row r="48" spans="1:7" x14ac:dyDescent="0.25">
      <c r="A48" s="40">
        <v>47</v>
      </c>
      <c r="B48" s="6" t="s">
        <v>85</v>
      </c>
      <c r="C48" s="13" t="s">
        <v>13</v>
      </c>
      <c r="D48" s="13">
        <v>0</v>
      </c>
      <c r="E48" s="10">
        <v>27000</v>
      </c>
      <c r="F48" s="9">
        <f t="shared" ref="F48" si="5">D48*E48</f>
        <v>0</v>
      </c>
    </row>
    <row r="49" spans="1:7" x14ac:dyDescent="0.25">
      <c r="A49" s="40">
        <v>48</v>
      </c>
      <c r="B49" s="6" t="s">
        <v>28</v>
      </c>
      <c r="C49" s="13" t="s">
        <v>13</v>
      </c>
      <c r="D49" s="13">
        <v>26</v>
      </c>
      <c r="E49" s="10">
        <v>1000</v>
      </c>
      <c r="F49" s="9">
        <f t="shared" si="4"/>
        <v>26000</v>
      </c>
    </row>
    <row r="50" spans="1:7" x14ac:dyDescent="0.25">
      <c r="A50" s="40">
        <v>49</v>
      </c>
      <c r="B50" s="7" t="s">
        <v>4</v>
      </c>
      <c r="C50" s="14"/>
      <c r="D50" s="14"/>
      <c r="E50" s="11"/>
      <c r="F50" s="15">
        <f>SUM(F45:F49)</f>
        <v>195000</v>
      </c>
    </row>
    <row r="51" spans="1:7" ht="15.75" x14ac:dyDescent="0.25">
      <c r="A51" s="40">
        <v>50</v>
      </c>
      <c r="B51" s="5" t="s">
        <v>25</v>
      </c>
      <c r="C51" s="12"/>
      <c r="D51" s="12"/>
      <c r="E51" s="8"/>
      <c r="F51" s="9"/>
    </row>
    <row r="52" spans="1:7" x14ac:dyDescent="0.25">
      <c r="A52" s="40">
        <v>51</v>
      </c>
      <c r="B52" s="6" t="s">
        <v>15</v>
      </c>
      <c r="C52" s="13" t="s">
        <v>12</v>
      </c>
      <c r="D52" s="56">
        <f>(6*21+29*2)*C5</f>
        <v>404.8</v>
      </c>
      <c r="E52" s="10">
        <v>1100</v>
      </c>
      <c r="F52" s="9">
        <f>D52*E52</f>
        <v>445280</v>
      </c>
    </row>
    <row r="53" spans="1:7" x14ac:dyDescent="0.25">
      <c r="A53" s="40">
        <v>52</v>
      </c>
      <c r="B53" s="6" t="s">
        <v>19</v>
      </c>
      <c r="C53" s="13" t="s">
        <v>12</v>
      </c>
      <c r="D53" s="56">
        <f>D52</f>
        <v>404.8</v>
      </c>
      <c r="E53" s="10">
        <v>120</v>
      </c>
      <c r="F53" s="9">
        <f>D53*E53</f>
        <v>48576</v>
      </c>
    </row>
    <row r="54" spans="1:7" x14ac:dyDescent="0.25">
      <c r="A54" s="40">
        <v>53</v>
      </c>
      <c r="B54" s="7" t="s">
        <v>4</v>
      </c>
      <c r="C54" s="14"/>
      <c r="D54" s="14"/>
      <c r="E54" s="11"/>
      <c r="F54" s="15">
        <f>SUM(F52:F53)</f>
        <v>493856</v>
      </c>
    </row>
    <row r="55" spans="1:7" ht="15.75" x14ac:dyDescent="0.25">
      <c r="A55" s="40">
        <v>54</v>
      </c>
      <c r="B55" s="5" t="s">
        <v>42</v>
      </c>
      <c r="C55" s="12"/>
      <c r="D55" s="12"/>
      <c r="E55" s="8"/>
      <c r="F55" s="9"/>
    </row>
    <row r="56" spans="1:7" x14ac:dyDescent="0.25">
      <c r="A56" s="40">
        <v>55</v>
      </c>
      <c r="B56" s="19" t="s">
        <v>36</v>
      </c>
      <c r="C56" s="13"/>
      <c r="D56" s="13"/>
      <c r="E56" s="10"/>
      <c r="F56" s="9"/>
    </row>
    <row r="57" spans="1:7" x14ac:dyDescent="0.25">
      <c r="A57" s="40">
        <v>56</v>
      </c>
      <c r="B57" s="6" t="s">
        <v>37</v>
      </c>
      <c r="C57" s="13" t="s">
        <v>12</v>
      </c>
      <c r="D57" s="13">
        <f>(2.35*4+6*4)*C5</f>
        <v>73.48</v>
      </c>
      <c r="E57" s="10">
        <v>180</v>
      </c>
      <c r="F57" s="9">
        <f t="shared" ref="F57:F59" si="6">D57*E57</f>
        <v>13226.400000000001</v>
      </c>
      <c r="G57" t="s">
        <v>97</v>
      </c>
    </row>
    <row r="58" spans="1:7" x14ac:dyDescent="0.25">
      <c r="A58" s="40">
        <v>57</v>
      </c>
      <c r="B58" s="6" t="s">
        <v>38</v>
      </c>
      <c r="C58" s="13" t="s">
        <v>12</v>
      </c>
      <c r="D58" s="13">
        <f>D57</f>
        <v>73.48</v>
      </c>
      <c r="E58" s="10">
        <v>95</v>
      </c>
      <c r="F58" s="9">
        <f t="shared" si="6"/>
        <v>6980.6</v>
      </c>
    </row>
    <row r="59" spans="1:7" x14ac:dyDescent="0.25">
      <c r="A59" s="40">
        <v>58</v>
      </c>
      <c r="B59" s="6" t="s">
        <v>39</v>
      </c>
      <c r="C59" s="13" t="s">
        <v>12</v>
      </c>
      <c r="D59" s="13">
        <f>D57</f>
        <v>73.48</v>
      </c>
      <c r="E59" s="10">
        <v>150</v>
      </c>
      <c r="F59" s="9">
        <f t="shared" si="6"/>
        <v>11022</v>
      </c>
    </row>
    <row r="60" spans="1:7" x14ac:dyDescent="0.25">
      <c r="A60" s="40">
        <v>59</v>
      </c>
      <c r="B60" s="19" t="s">
        <v>33</v>
      </c>
      <c r="C60" s="13"/>
      <c r="D60" s="13"/>
      <c r="E60" s="10"/>
      <c r="F60" s="9"/>
    </row>
    <row r="61" spans="1:7" x14ac:dyDescent="0.25">
      <c r="A61" s="40">
        <v>60</v>
      </c>
      <c r="B61" s="6" t="s">
        <v>26</v>
      </c>
      <c r="C61" s="13" t="s">
        <v>12</v>
      </c>
      <c r="D61" s="13">
        <f>D62</f>
        <v>378.33</v>
      </c>
      <c r="E61" s="10">
        <v>100</v>
      </c>
      <c r="F61" s="9">
        <f>D61*E61</f>
        <v>37833</v>
      </c>
    </row>
    <row r="62" spans="1:7" x14ac:dyDescent="0.25">
      <c r="A62" s="40">
        <v>61</v>
      </c>
      <c r="B62" s="6" t="s">
        <v>48</v>
      </c>
      <c r="C62" s="13" t="s">
        <v>12</v>
      </c>
      <c r="D62" s="13">
        <f>24*13.87+72.38+12.12-D64-D66</f>
        <v>378.33</v>
      </c>
      <c r="E62" s="10">
        <v>350</v>
      </c>
      <c r="F62" s="9">
        <f>D62*E62</f>
        <v>132415.5</v>
      </c>
    </row>
    <row r="63" spans="1:7" x14ac:dyDescent="0.25">
      <c r="A63" s="40">
        <v>62</v>
      </c>
      <c r="B63" s="6" t="s">
        <v>74</v>
      </c>
      <c r="C63" s="13" t="str">
        <f>VLOOKUP(B63,[1]Отделка!Прайс,2,FALSE)</f>
        <v>м2</v>
      </c>
      <c r="D63" s="13">
        <f>12.12</f>
        <v>12.12</v>
      </c>
      <c r="E63" s="10">
        <v>360</v>
      </c>
      <c r="F63" s="9">
        <f t="shared" ref="F63:F67" si="7">D63*E63</f>
        <v>4363.2</v>
      </c>
      <c r="G63" t="s">
        <v>98</v>
      </c>
    </row>
    <row r="64" spans="1:7" x14ac:dyDescent="0.25">
      <c r="A64" s="40">
        <v>63</v>
      </c>
      <c r="B64" s="6" t="s">
        <v>75</v>
      </c>
      <c r="C64" s="13" t="str">
        <f>VLOOKUP(B64,[1]Отделка!Прайс,2,FALSE)</f>
        <v>м2</v>
      </c>
      <c r="D64" s="13">
        <f>D63</f>
        <v>12.12</v>
      </c>
      <c r="E64" s="10">
        <v>635.85</v>
      </c>
      <c r="F64" s="9">
        <f t="shared" si="7"/>
        <v>7706.5019999999995</v>
      </c>
    </row>
    <row r="65" spans="1:7" x14ac:dyDescent="0.25">
      <c r="A65" s="40">
        <v>64</v>
      </c>
      <c r="B65" s="6" t="s">
        <v>76</v>
      </c>
      <c r="C65" s="13" t="str">
        <f>VLOOKUP(B65,[1]Отделка!Прайс,2,FALSE)</f>
        <v>м2</v>
      </c>
      <c r="D65" s="13">
        <f>13.87+13.06</f>
        <v>26.93</v>
      </c>
      <c r="E65" s="10">
        <v>450</v>
      </c>
      <c r="F65" s="9">
        <f t="shared" si="7"/>
        <v>12118.5</v>
      </c>
      <c r="G65" t="s">
        <v>99</v>
      </c>
    </row>
    <row r="66" spans="1:7" x14ac:dyDescent="0.25">
      <c r="A66" s="40">
        <v>65</v>
      </c>
      <c r="B66" s="6" t="s">
        <v>92</v>
      </c>
      <c r="C66" s="13" t="s">
        <v>12</v>
      </c>
      <c r="D66" s="13">
        <f>D65</f>
        <v>26.93</v>
      </c>
      <c r="E66" s="10">
        <v>599</v>
      </c>
      <c r="F66" s="9">
        <f t="shared" si="7"/>
        <v>16131.07</v>
      </c>
    </row>
    <row r="67" spans="1:7" x14ac:dyDescent="0.25">
      <c r="A67" s="40">
        <v>66</v>
      </c>
      <c r="B67" s="6" t="s">
        <v>77</v>
      </c>
      <c r="C67" s="13" t="str">
        <f>VLOOKUP(B67,[1]Отделка!Прайс,2,FALSE)</f>
        <v>кг</v>
      </c>
      <c r="D67" s="13">
        <f>D65*5</f>
        <v>134.65</v>
      </c>
      <c r="E67" s="10">
        <v>11.7</v>
      </c>
      <c r="F67" s="9">
        <f t="shared" si="7"/>
        <v>1575.405</v>
      </c>
    </row>
    <row r="68" spans="1:7" ht="15.75" x14ac:dyDescent="0.25">
      <c r="A68" s="40">
        <v>67</v>
      </c>
      <c r="B68" s="19" t="s">
        <v>41</v>
      </c>
      <c r="C68" s="12"/>
      <c r="D68" s="12"/>
      <c r="E68" s="8"/>
      <c r="F68" s="9"/>
    </row>
    <row r="69" spans="1:7" ht="18" customHeight="1" x14ac:dyDescent="0.25">
      <c r="A69" s="40">
        <v>68</v>
      </c>
      <c r="B69" s="6" t="s">
        <v>78</v>
      </c>
      <c r="C69" s="13" t="str">
        <f>VLOOKUP(B69,[1]Отделка!Прайс,2,FALSE)</f>
        <v>м2</v>
      </c>
      <c r="D69" s="13">
        <f>D65</f>
        <v>26.93</v>
      </c>
      <c r="E69" s="10">
        <v>180</v>
      </c>
      <c r="F69" s="9">
        <f t="shared" ref="F69:F70" si="8">D69*E69</f>
        <v>4847.3999999999996</v>
      </c>
      <c r="G69" t="s">
        <v>97</v>
      </c>
    </row>
    <row r="70" spans="1:7" ht="30" x14ac:dyDescent="0.25">
      <c r="A70" s="40">
        <v>69</v>
      </c>
      <c r="B70" s="6" t="s">
        <v>79</v>
      </c>
      <c r="C70" s="13" t="s">
        <v>12</v>
      </c>
      <c r="D70" s="13">
        <f>D69</f>
        <v>26.93</v>
      </c>
      <c r="E70" s="10">
        <v>275</v>
      </c>
      <c r="F70" s="9">
        <f t="shared" si="8"/>
        <v>7405.75</v>
      </c>
    </row>
    <row r="71" spans="1:7" x14ac:dyDescent="0.25">
      <c r="A71" s="40">
        <v>70</v>
      </c>
      <c r="B71" s="7" t="s">
        <v>4</v>
      </c>
      <c r="C71" s="14"/>
      <c r="D71" s="14"/>
      <c r="E71" s="11"/>
      <c r="F71" s="15">
        <f>SUM(F56:F70)</f>
        <v>255625.32700000002</v>
      </c>
    </row>
    <row r="72" spans="1:7" ht="15.75" x14ac:dyDescent="0.25">
      <c r="A72" s="40">
        <v>71</v>
      </c>
      <c r="B72" s="5" t="s">
        <v>81</v>
      </c>
      <c r="C72" s="59"/>
      <c r="D72" s="59"/>
      <c r="E72" s="60"/>
      <c r="F72" s="61"/>
    </row>
    <row r="73" spans="1:7" x14ac:dyDescent="0.25">
      <c r="A73" s="40">
        <v>72</v>
      </c>
      <c r="B73" s="6" t="s">
        <v>82</v>
      </c>
      <c r="C73" s="13" t="str">
        <f>VLOOKUP(B73,'[1]Лестницы, крыльца'!Прайс,2,FALSE)</f>
        <v>тн</v>
      </c>
      <c r="D73" s="13">
        <f>D74+D75</f>
        <v>0.8</v>
      </c>
      <c r="E73" s="10">
        <v>9000</v>
      </c>
      <c r="F73" s="9">
        <f t="shared" ref="F73" si="9">D73*E73</f>
        <v>7200</v>
      </c>
    </row>
    <row r="74" spans="1:7" x14ac:dyDescent="0.25">
      <c r="A74" s="40">
        <v>73</v>
      </c>
      <c r="B74" s="6" t="s">
        <v>100</v>
      </c>
      <c r="C74" s="13" t="s">
        <v>86</v>
      </c>
      <c r="D74" s="13">
        <f>0.4*2</f>
        <v>0.8</v>
      </c>
      <c r="E74" s="10">
        <v>77000</v>
      </c>
      <c r="F74" s="9">
        <f>D74*E74</f>
        <v>61600</v>
      </c>
    </row>
    <row r="75" spans="1:7" x14ac:dyDescent="0.25">
      <c r="A75" s="40">
        <v>74</v>
      </c>
      <c r="B75" s="6" t="s">
        <v>83</v>
      </c>
      <c r="C75" s="13" t="s">
        <v>86</v>
      </c>
      <c r="D75" s="13">
        <v>0</v>
      </c>
      <c r="E75" s="10">
        <v>77000</v>
      </c>
      <c r="F75" s="9">
        <f>D75*E75</f>
        <v>0</v>
      </c>
    </row>
    <row r="76" spans="1:7" x14ac:dyDescent="0.25">
      <c r="A76" s="40">
        <v>75</v>
      </c>
      <c r="B76" s="7" t="s">
        <v>4</v>
      </c>
      <c r="C76" s="13"/>
      <c r="D76" s="14"/>
      <c r="E76" s="11"/>
      <c r="F76" s="15">
        <f>SUM(F73:F75)</f>
        <v>68800</v>
      </c>
    </row>
    <row r="77" spans="1:7" ht="15.75" x14ac:dyDescent="0.25">
      <c r="A77" s="40">
        <v>76</v>
      </c>
      <c r="B77" s="5" t="s">
        <v>122</v>
      </c>
      <c r="C77" s="59"/>
      <c r="D77" s="59"/>
      <c r="E77" s="60"/>
      <c r="F77" s="61"/>
    </row>
    <row r="78" spans="1:7" x14ac:dyDescent="0.25">
      <c r="A78" s="40">
        <v>77</v>
      </c>
      <c r="B78" s="6" t="s">
        <v>114</v>
      </c>
      <c r="C78" s="13" t="s">
        <v>86</v>
      </c>
      <c r="D78" s="56">
        <v>0.25</v>
      </c>
      <c r="E78" s="10">
        <v>9000</v>
      </c>
      <c r="F78" s="9">
        <f t="shared" ref="F78:F79" si="10">D78*E78</f>
        <v>2250</v>
      </c>
    </row>
    <row r="79" spans="1:7" x14ac:dyDescent="0.25">
      <c r="A79" s="40">
        <v>78</v>
      </c>
      <c r="B79" s="6" t="s">
        <v>115</v>
      </c>
      <c r="C79" s="13" t="s">
        <v>86</v>
      </c>
      <c r="D79" s="56">
        <v>0.25</v>
      </c>
      <c r="E79" s="10">
        <v>50000</v>
      </c>
      <c r="F79" s="9">
        <f t="shared" si="10"/>
        <v>12500</v>
      </c>
    </row>
    <row r="80" spans="1:7" x14ac:dyDescent="0.25">
      <c r="A80" s="40">
        <v>79</v>
      </c>
      <c r="B80" s="7" t="s">
        <v>4</v>
      </c>
      <c r="C80" s="13"/>
      <c r="D80" s="14"/>
      <c r="E80" s="11"/>
      <c r="F80" s="15">
        <f>SUM(F78:F79)</f>
        <v>14750</v>
      </c>
    </row>
    <row r="81" spans="1:6" ht="15.75" x14ac:dyDescent="0.25">
      <c r="A81" s="40">
        <v>80</v>
      </c>
      <c r="B81" s="25" t="s">
        <v>14</v>
      </c>
      <c r="C81" s="26"/>
      <c r="D81" s="26"/>
      <c r="E81" s="27"/>
      <c r="F81" s="28">
        <f>SUM(F10:F80)/2</f>
        <v>5962970.6871699989</v>
      </c>
    </row>
    <row r="82" spans="1:6" ht="15.75" x14ac:dyDescent="0.25">
      <c r="A82" s="40">
        <v>81</v>
      </c>
      <c r="B82" s="29" t="s">
        <v>93</v>
      </c>
      <c r="C82" s="57" t="s">
        <v>80</v>
      </c>
      <c r="D82" s="57">
        <v>2</v>
      </c>
      <c r="E82" s="30"/>
      <c r="F82" s="31">
        <f>F81*D82%</f>
        <v>119259.41374339999</v>
      </c>
    </row>
    <row r="83" spans="1:6" ht="21" x14ac:dyDescent="0.35">
      <c r="A83" s="40">
        <v>82</v>
      </c>
      <c r="B83" s="32" t="s">
        <v>21</v>
      </c>
      <c r="C83" s="33"/>
      <c r="D83" s="33"/>
      <c r="E83" s="34"/>
      <c r="F83" s="35">
        <f>F81+F82</f>
        <v>6082230.1009133989</v>
      </c>
    </row>
    <row r="84" spans="1:6" ht="15.75" x14ac:dyDescent="0.25">
      <c r="A84" s="40">
        <v>83</v>
      </c>
      <c r="B84" s="21" t="s">
        <v>87</v>
      </c>
      <c r="C84" s="12"/>
      <c r="D84" s="12"/>
      <c r="E84" s="8"/>
      <c r="F84" s="9"/>
    </row>
    <row r="85" spans="1:6" ht="15.75" x14ac:dyDescent="0.25">
      <c r="A85" s="40">
        <v>84</v>
      </c>
      <c r="B85" s="20" t="s">
        <v>43</v>
      </c>
      <c r="C85" s="13" t="s">
        <v>12</v>
      </c>
      <c r="D85" s="63">
        <f>F6</f>
        <v>452.75306999999998</v>
      </c>
      <c r="E85" s="10">
        <v>450</v>
      </c>
      <c r="F85" s="9">
        <f>D85*E85</f>
        <v>203738.88149999999</v>
      </c>
    </row>
    <row r="86" spans="1:6" ht="15.75" x14ac:dyDescent="0.25">
      <c r="A86" s="40">
        <v>85</v>
      </c>
      <c r="B86" s="20" t="s">
        <v>22</v>
      </c>
      <c r="C86" s="13" t="s">
        <v>12</v>
      </c>
      <c r="D86" s="63">
        <f>D85</f>
        <v>452.75306999999998</v>
      </c>
      <c r="E86" s="10">
        <f>E85*50%</f>
        <v>225</v>
      </c>
      <c r="F86" s="9">
        <f t="shared" ref="F86:F92" si="11">D86*E86</f>
        <v>101869.44074999999</v>
      </c>
    </row>
    <row r="87" spans="1:6" ht="15" customHeight="1" x14ac:dyDescent="0.25">
      <c r="A87" s="40">
        <v>86</v>
      </c>
      <c r="B87" s="24" t="s">
        <v>51</v>
      </c>
      <c r="C87" s="13" t="s">
        <v>12</v>
      </c>
      <c r="D87" s="63">
        <f t="shared" ref="D87:D92" si="12">D86</f>
        <v>452.75306999999998</v>
      </c>
      <c r="E87" s="10">
        <v>400</v>
      </c>
      <c r="F87" s="9">
        <f t="shared" si="11"/>
        <v>181101.228</v>
      </c>
    </row>
    <row r="88" spans="1:6" ht="15.75" x14ac:dyDescent="0.25">
      <c r="A88" s="40">
        <v>87</v>
      </c>
      <c r="B88" s="24" t="s">
        <v>34</v>
      </c>
      <c r="C88" s="13" t="s">
        <v>12</v>
      </c>
      <c r="D88" s="63">
        <f t="shared" si="12"/>
        <v>452.75306999999998</v>
      </c>
      <c r="E88" s="10">
        <f>E87*50%</f>
        <v>200</v>
      </c>
      <c r="F88" s="9">
        <f t="shared" si="11"/>
        <v>90550.614000000001</v>
      </c>
    </row>
    <row r="89" spans="1:6" ht="15.75" x14ac:dyDescent="0.25">
      <c r="A89" s="40">
        <v>88</v>
      </c>
      <c r="B89" s="24" t="s">
        <v>109</v>
      </c>
      <c r="C89" s="13" t="s">
        <v>12</v>
      </c>
      <c r="D89" s="63">
        <f t="shared" si="12"/>
        <v>452.75306999999998</v>
      </c>
      <c r="E89" s="10">
        <v>125</v>
      </c>
      <c r="F89" s="9">
        <f t="shared" si="11"/>
        <v>56594.133750000001</v>
      </c>
    </row>
    <row r="90" spans="1:6" ht="15.75" x14ac:dyDescent="0.25">
      <c r="A90" s="40">
        <v>89</v>
      </c>
      <c r="B90" s="24" t="s">
        <v>110</v>
      </c>
      <c r="C90" s="13" t="s">
        <v>12</v>
      </c>
      <c r="D90" s="63">
        <f t="shared" si="12"/>
        <v>452.75306999999998</v>
      </c>
      <c r="E90" s="10">
        <f>E89*50%</f>
        <v>62.5</v>
      </c>
      <c r="F90" s="9">
        <f t="shared" si="11"/>
        <v>28297.066875</v>
      </c>
    </row>
    <row r="91" spans="1:6" ht="15.75" x14ac:dyDescent="0.25">
      <c r="A91" s="40">
        <v>90</v>
      </c>
      <c r="B91" s="24" t="s">
        <v>44</v>
      </c>
      <c r="C91" s="13" t="s">
        <v>12</v>
      </c>
      <c r="D91" s="63">
        <f t="shared" si="12"/>
        <v>452.75306999999998</v>
      </c>
      <c r="E91" s="10">
        <v>120</v>
      </c>
      <c r="F91" s="9">
        <f t="shared" si="11"/>
        <v>54330.368399999999</v>
      </c>
    </row>
    <row r="92" spans="1:6" ht="15.75" x14ac:dyDescent="0.25">
      <c r="A92" s="40">
        <v>91</v>
      </c>
      <c r="B92" s="24" t="s">
        <v>45</v>
      </c>
      <c r="C92" s="13" t="s">
        <v>12</v>
      </c>
      <c r="D92" s="63">
        <f t="shared" si="12"/>
        <v>452.75306999999998</v>
      </c>
      <c r="E92" s="10">
        <f>E91*120%</f>
        <v>144</v>
      </c>
      <c r="F92" s="9">
        <f t="shared" si="11"/>
        <v>65196.442079999993</v>
      </c>
    </row>
    <row r="93" spans="1:6" ht="15.75" x14ac:dyDescent="0.25">
      <c r="A93" s="40">
        <v>92</v>
      </c>
      <c r="B93" s="22" t="s">
        <v>4</v>
      </c>
      <c r="C93" s="13"/>
      <c r="D93" s="56"/>
      <c r="E93" s="10"/>
      <c r="F93" s="23">
        <f>SUM(F85:F92)</f>
        <v>781678.17535499996</v>
      </c>
    </row>
    <row r="94" spans="1:6" ht="15.75" x14ac:dyDescent="0.25">
      <c r="A94" s="40">
        <v>93</v>
      </c>
      <c r="B94" s="21" t="s">
        <v>88</v>
      </c>
      <c r="C94" s="13" t="s">
        <v>59</v>
      </c>
      <c r="D94" s="56">
        <v>1</v>
      </c>
      <c r="E94" s="10">
        <v>250000</v>
      </c>
      <c r="F94" s="23">
        <f>D94*E94</f>
        <v>250000</v>
      </c>
    </row>
    <row r="95" spans="1:6" ht="18.75" x14ac:dyDescent="0.3">
      <c r="A95" s="40">
        <v>94</v>
      </c>
      <c r="B95" s="46" t="s">
        <v>89</v>
      </c>
      <c r="C95" s="36" t="s">
        <v>80</v>
      </c>
      <c r="D95" s="36">
        <v>6</v>
      </c>
      <c r="E95" s="37"/>
      <c r="F95" s="38">
        <f>(F83+F93)*D95%</f>
        <v>411834.49657610391</v>
      </c>
    </row>
    <row r="96" spans="1:6" ht="18.75" x14ac:dyDescent="0.3">
      <c r="A96" s="40">
        <v>95</v>
      </c>
      <c r="B96" s="46" t="s">
        <v>90</v>
      </c>
      <c r="C96" s="36" t="s">
        <v>20</v>
      </c>
      <c r="D96" s="66">
        <f>35*F6/100</f>
        <v>158.46357449999999</v>
      </c>
      <c r="E96" s="37">
        <v>2000</v>
      </c>
      <c r="F96" s="38">
        <f>D96*E96</f>
        <v>316927.14899999998</v>
      </c>
    </row>
    <row r="97" spans="1:8" ht="15.75" x14ac:dyDescent="0.25">
      <c r="A97" s="40">
        <v>96</v>
      </c>
      <c r="B97" s="46" t="s">
        <v>91</v>
      </c>
      <c r="C97" s="47"/>
      <c r="D97" s="47"/>
      <c r="E97" s="48"/>
      <c r="F97" s="49">
        <f>SUM(F98:F108)</f>
        <v>358287.32160000002</v>
      </c>
      <c r="G97" s="58"/>
      <c r="H97" s="58"/>
    </row>
    <row r="98" spans="1:8" x14ac:dyDescent="0.25">
      <c r="A98" s="40">
        <v>97</v>
      </c>
      <c r="B98" s="50" t="s">
        <v>52</v>
      </c>
      <c r="C98" s="51" t="s">
        <v>13</v>
      </c>
      <c r="D98" s="51">
        <v>8</v>
      </c>
      <c r="E98" s="52">
        <v>5000</v>
      </c>
      <c r="F98" s="53">
        <f>D98*E98</f>
        <v>40000</v>
      </c>
    </row>
    <row r="99" spans="1:8" x14ac:dyDescent="0.25">
      <c r="A99" s="40">
        <v>98</v>
      </c>
      <c r="B99" s="50" t="s">
        <v>101</v>
      </c>
      <c r="C99" s="51" t="s">
        <v>13</v>
      </c>
      <c r="D99" s="51">
        <v>2</v>
      </c>
      <c r="E99" s="52">
        <v>4000</v>
      </c>
      <c r="F99" s="53">
        <f t="shared" ref="F99:F102" si="13">D99*E99</f>
        <v>8000</v>
      </c>
    </row>
    <row r="100" spans="1:8" x14ac:dyDescent="0.25">
      <c r="A100" s="40">
        <v>99</v>
      </c>
      <c r="B100" s="50" t="s">
        <v>102</v>
      </c>
      <c r="C100" s="51" t="s">
        <v>13</v>
      </c>
      <c r="D100" s="65">
        <f>(F6/10)/1.5</f>
        <v>30.183537999999999</v>
      </c>
      <c r="E100" s="52">
        <v>3200</v>
      </c>
      <c r="F100" s="53">
        <f t="shared" si="13"/>
        <v>96587.321599999996</v>
      </c>
    </row>
    <row r="101" spans="1:8" x14ac:dyDescent="0.25">
      <c r="A101" s="40">
        <v>100</v>
      </c>
      <c r="B101" s="50" t="s">
        <v>103</v>
      </c>
      <c r="C101" s="51" t="s">
        <v>13</v>
      </c>
      <c r="D101" s="51">
        <v>2</v>
      </c>
      <c r="E101" s="52">
        <v>7500</v>
      </c>
      <c r="F101" s="53">
        <f t="shared" si="13"/>
        <v>15000</v>
      </c>
    </row>
    <row r="102" spans="1:8" x14ac:dyDescent="0.25">
      <c r="A102" s="40">
        <v>101</v>
      </c>
      <c r="B102" s="50" t="s">
        <v>123</v>
      </c>
      <c r="C102" s="51" t="s">
        <v>13</v>
      </c>
      <c r="D102" s="51">
        <v>1</v>
      </c>
      <c r="E102" s="52">
        <v>3500</v>
      </c>
      <c r="F102" s="53">
        <f t="shared" si="13"/>
        <v>3500</v>
      </c>
    </row>
    <row r="103" spans="1:8" x14ac:dyDescent="0.25">
      <c r="A103" s="40">
        <v>102</v>
      </c>
      <c r="B103" s="50" t="s">
        <v>116</v>
      </c>
      <c r="C103" s="51" t="s">
        <v>13</v>
      </c>
      <c r="D103" s="51">
        <v>1</v>
      </c>
      <c r="E103" s="52">
        <v>38500</v>
      </c>
      <c r="F103" s="64">
        <f t="shared" ref="F103:F108" si="14">D103*E103</f>
        <v>38500</v>
      </c>
    </row>
    <row r="104" spans="1:8" x14ac:dyDescent="0.25">
      <c r="A104" s="40">
        <v>103</v>
      </c>
      <c r="B104" s="50" t="s">
        <v>104</v>
      </c>
      <c r="C104" s="51" t="s">
        <v>13</v>
      </c>
      <c r="D104" s="51">
        <v>1</v>
      </c>
      <c r="E104" s="52">
        <v>4250</v>
      </c>
      <c r="F104" s="64">
        <f>D104*E104</f>
        <v>4250</v>
      </c>
    </row>
    <row r="105" spans="1:8" x14ac:dyDescent="0.25">
      <c r="A105" s="40">
        <v>104</v>
      </c>
      <c r="B105" s="50" t="s">
        <v>105</v>
      </c>
      <c r="C105" s="51" t="s">
        <v>13</v>
      </c>
      <c r="D105" s="51">
        <v>1</v>
      </c>
      <c r="E105" s="52">
        <v>13500</v>
      </c>
      <c r="F105" s="64">
        <f>D105*E105</f>
        <v>13500</v>
      </c>
    </row>
    <row r="106" spans="1:8" x14ac:dyDescent="0.25">
      <c r="A106" s="40">
        <v>105</v>
      </c>
      <c r="B106" s="50" t="s">
        <v>106</v>
      </c>
      <c r="C106" s="51" t="s">
        <v>13</v>
      </c>
      <c r="D106" s="51">
        <v>1</v>
      </c>
      <c r="E106" s="52">
        <v>37000</v>
      </c>
      <c r="F106" s="64">
        <f>D106*E106</f>
        <v>37000</v>
      </c>
    </row>
    <row r="107" spans="1:8" x14ac:dyDescent="0.25">
      <c r="A107" s="40">
        <v>106</v>
      </c>
      <c r="B107" s="50" t="s">
        <v>107</v>
      </c>
      <c r="C107" s="51" t="s">
        <v>13</v>
      </c>
      <c r="D107" s="51">
        <v>1</v>
      </c>
      <c r="E107" s="52">
        <v>88000</v>
      </c>
      <c r="F107" s="53">
        <f>D107*E107</f>
        <v>88000</v>
      </c>
    </row>
    <row r="108" spans="1:8" x14ac:dyDescent="0.25">
      <c r="A108" s="40">
        <v>107</v>
      </c>
      <c r="B108" s="50" t="s">
        <v>108</v>
      </c>
      <c r="C108" s="51" t="s">
        <v>13</v>
      </c>
      <c r="D108" s="65">
        <v>30</v>
      </c>
      <c r="E108" s="52">
        <v>465</v>
      </c>
      <c r="F108" s="53">
        <f t="shared" si="14"/>
        <v>13950</v>
      </c>
    </row>
    <row r="109" spans="1:8" ht="46.5" x14ac:dyDescent="0.25">
      <c r="A109" s="40">
        <v>108</v>
      </c>
      <c r="B109" s="16" t="s">
        <v>5</v>
      </c>
      <c r="C109" s="17"/>
      <c r="D109" s="17"/>
      <c r="E109" s="18"/>
      <c r="F109" s="39">
        <f>F83+F93+F95+F96+F94+F97</f>
        <v>8200957.2434445033</v>
      </c>
    </row>
    <row r="110" spans="1:8" x14ac:dyDescent="0.25">
      <c r="A110" s="40">
        <v>109</v>
      </c>
      <c r="B110" s="42" t="s">
        <v>27</v>
      </c>
      <c r="C110" s="67">
        <f>(G2+H2+I2)/65+1+1+1</f>
        <v>6.2514180153846155</v>
      </c>
      <c r="D110" s="70" t="s">
        <v>46</v>
      </c>
      <c r="E110" s="70"/>
      <c r="F110" s="43">
        <f>F109/F6</f>
        <v>18113.53204837353</v>
      </c>
    </row>
    <row r="111" spans="1:8" x14ac:dyDescent="0.25">
      <c r="A111"/>
      <c r="C111"/>
      <c r="D111"/>
      <c r="F111" s="1"/>
    </row>
    <row r="112" spans="1:8" x14ac:dyDescent="0.25">
      <c r="A112"/>
      <c r="C112"/>
      <c r="D112"/>
      <c r="F112" s="1"/>
    </row>
    <row r="113" spans="1:6" x14ac:dyDescent="0.25">
      <c r="A113"/>
      <c r="C113"/>
      <c r="D113"/>
      <c r="F113" s="1"/>
    </row>
    <row r="114" spans="1:6" x14ac:dyDescent="0.25">
      <c r="A114"/>
      <c r="C114"/>
      <c r="D114"/>
      <c r="F114" s="1"/>
    </row>
  </sheetData>
  <mergeCells count="8">
    <mergeCell ref="C2:F2"/>
    <mergeCell ref="C3:F3"/>
    <mergeCell ref="A1:E1"/>
    <mergeCell ref="D110:E110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18:B26">
      <formula1>наружныестены</formula1>
    </dataValidation>
    <dataValidation type="list" allowBlank="1" showInputMessage="1" showErrorMessage="1" sqref="B29:B42">
      <formula1>кровля</formula1>
    </dataValidation>
    <dataValidation type="list" allowBlank="1" showInputMessage="1" showErrorMessage="1" sqref="B63:B67 B69:B70">
      <formula1>отделка</formula1>
    </dataValidation>
    <dataValidation type="list" allowBlank="1" showInputMessage="1" showErrorMessage="1" sqref="B78:B79 B73:B75">
      <formula1>лестницы</formula1>
    </dataValidation>
    <dataValidation type="list" allowBlank="1" showInputMessage="1" showErrorMessage="1" sqref="B72 B77">
      <formula1>прочие</formula1>
    </dataValidation>
  </dataValidation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2014-06-25T09:40:24Z</cp:lastPrinted>
  <dcterms:created xsi:type="dcterms:W3CDTF">2013-11-27T09:44:20Z</dcterms:created>
  <dcterms:modified xsi:type="dcterms:W3CDTF">2014-09-01T07:18:55Z</dcterms:modified>
</cp:coreProperties>
</file>