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8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Лист1!$A$7:$F$124</definedName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E94" i="1" l="1"/>
  <c r="F94" i="1" s="1"/>
  <c r="H8" i="1" s="1"/>
  <c r="F95" i="1"/>
  <c r="F82" i="1"/>
  <c r="F50" i="1"/>
  <c r="F96" i="1"/>
  <c r="F73" i="1"/>
  <c r="F74" i="1"/>
  <c r="F75" i="1"/>
  <c r="F76" i="1"/>
  <c r="F77" i="1"/>
  <c r="F78" i="1"/>
  <c r="F79" i="1"/>
  <c r="F72" i="1"/>
  <c r="F55" i="1"/>
  <c r="F58" i="1"/>
  <c r="F60" i="1"/>
  <c r="F61" i="1"/>
  <c r="F63" i="1"/>
  <c r="F66" i="1"/>
  <c r="F68" i="1"/>
  <c r="F69" i="1"/>
  <c r="D60" i="1"/>
  <c r="D49" i="1"/>
  <c r="F43" i="1"/>
  <c r="F44" i="1"/>
  <c r="F45" i="1"/>
  <c r="F46" i="1"/>
  <c r="F27" i="1"/>
  <c r="F29" i="1"/>
  <c r="F33" i="1"/>
  <c r="F35" i="1"/>
  <c r="D27" i="1"/>
  <c r="D26" i="1"/>
  <c r="D23" i="1"/>
  <c r="F23" i="1" s="1"/>
  <c r="F19" i="1"/>
  <c r="F20" i="1"/>
  <c r="F21" i="1"/>
  <c r="F22" i="1"/>
  <c r="F18" i="1"/>
  <c r="D14" i="1"/>
  <c r="F6" i="1"/>
  <c r="F103" i="1" l="1"/>
  <c r="D67" i="1"/>
  <c r="F67" i="1" s="1"/>
  <c r="D56" i="1"/>
  <c r="D36" i="1"/>
  <c r="F36" i="1" s="1"/>
  <c r="D37" i="1"/>
  <c r="F37" i="1" s="1"/>
  <c r="D57" i="1" l="1"/>
  <c r="F57" i="1" s="1"/>
  <c r="F56" i="1"/>
  <c r="F122" i="1"/>
  <c r="F108" i="1"/>
  <c r="D12" i="1" l="1"/>
  <c r="F109" i="1" l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07" i="1"/>
  <c r="F99" i="1"/>
  <c r="F101" i="1"/>
  <c r="F102" i="1"/>
  <c r="F106" i="1" l="1"/>
  <c r="E92" i="1"/>
  <c r="E90" i="1"/>
  <c r="E88" i="1"/>
  <c r="E86" i="1"/>
  <c r="D62" i="1" l="1"/>
  <c r="F62" i="1" s="1"/>
  <c r="D50" i="1" l="1"/>
  <c r="C72" i="1"/>
  <c r="D85" i="1"/>
  <c r="F85" i="1" s="1"/>
  <c r="C67" i="1"/>
  <c r="C65" i="1"/>
  <c r="C63" i="1"/>
  <c r="C62" i="1"/>
  <c r="C61" i="1"/>
  <c r="D39" i="1"/>
  <c r="D30" i="1"/>
  <c r="F30" i="1" s="1"/>
  <c r="C39" i="1"/>
  <c r="C38" i="1"/>
  <c r="C37" i="1"/>
  <c r="C35" i="1"/>
  <c r="F34" i="1"/>
  <c r="C34" i="1"/>
  <c r="C33" i="1"/>
  <c r="E32" i="1"/>
  <c r="F32" i="1" s="1"/>
  <c r="C32" i="1"/>
  <c r="C31" i="1"/>
  <c r="C30" i="1"/>
  <c r="C28" i="1"/>
  <c r="C27" i="1"/>
  <c r="C26" i="1"/>
  <c r="C15" i="1"/>
  <c r="F80" i="1" l="1"/>
  <c r="D31" i="1"/>
  <c r="F31" i="1" s="1"/>
  <c r="D86" i="1"/>
  <c r="D64" i="1"/>
  <c r="F64" i="1" s="1"/>
  <c r="D65" i="1"/>
  <c r="F65" i="1" s="1"/>
  <c r="F54" i="1"/>
  <c r="D15" i="1"/>
  <c r="D38" i="1"/>
  <c r="F38" i="1" s="1"/>
  <c r="F39" i="1"/>
  <c r="F26" i="1"/>
  <c r="D28" i="1"/>
  <c r="F28" i="1" s="1"/>
  <c r="F24" i="1"/>
  <c r="D13" i="1"/>
  <c r="F105" i="1"/>
  <c r="F104" i="1"/>
  <c r="F100" i="1"/>
  <c r="F98" i="1"/>
  <c r="F97" i="1" l="1"/>
  <c r="F16" i="1"/>
  <c r="D59" i="1"/>
  <c r="F59" i="1" s="1"/>
  <c r="D87" i="1"/>
  <c r="F86" i="1"/>
  <c r="F70" i="1" l="1"/>
  <c r="D88" i="1"/>
  <c r="F87" i="1"/>
  <c r="D89" i="1" l="1"/>
  <c r="F88" i="1"/>
  <c r="C1" i="1"/>
  <c r="F89" i="1" l="1"/>
  <c r="D90" i="1"/>
  <c r="D91" i="1" l="1"/>
  <c r="F90" i="1"/>
  <c r="F42" i="1"/>
  <c r="F91" i="1" l="1"/>
  <c r="D92" i="1"/>
  <c r="F47" i="1"/>
  <c r="F92" i="1" l="1"/>
  <c r="F93" i="1" s="1"/>
  <c r="F49" i="1"/>
  <c r="F51" i="1" l="1"/>
  <c r="A1" i="1"/>
  <c r="F40" i="1" l="1"/>
  <c r="F81" i="1" s="1"/>
  <c r="F83" i="1" l="1"/>
  <c r="F123" i="1" l="1"/>
  <c r="F124" i="1" s="1"/>
</calcChain>
</file>

<file path=xl/sharedStrings.xml><?xml version="1.0" encoding="utf-8"?>
<sst xmlns="http://schemas.openxmlformats.org/spreadsheetml/2006/main" count="207" uniqueCount="138">
  <si>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</si>
  <si>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</si>
  <si>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</si>
  <si>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</si>
  <si>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</si>
  <si>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</si>
  <si>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</si>
  <si>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</si>
  <si>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</si>
  <si>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</si>
  <si>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</si>
  <si>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</si>
  <si>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</si>
  <si>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</si>
  <si>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</si>
  <si>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</si>
  <si>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</si>
  <si>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</si>
  <si>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</si>
  <si>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</si>
  <si>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</si>
  <si>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</si>
  <si>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</si>
  <si>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</si>
  <si>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</si>
  <si>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</si>
  <si>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</si>
  <si>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</si>
  <si>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</si>
  <si>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</si>
  <si>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</si>
  <si>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</si>
  <si>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</si>
  <si>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</si>
  <si>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</si>
  <si>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</si>
  <si>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 xml:space="preserve">Панели ПВХ </t>
  </si>
  <si>
    <t>Монтаж панелей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</si>
  <si>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</si>
  <si>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</si>
  <si>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</si>
  <si>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</si>
  <si>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 xml:space="preserve">Отопление и вентиляция (материалы) </t>
  </si>
  <si>
    <t>Отопление и вентиляция (монтаж)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</si>
  <si>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</si>
  <si>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</si>
  <si>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</si>
  <si>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</si>
  <si>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</si>
  <si>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</si>
  <si>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</si>
  <si>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</si>
  <si>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</si>
  <si>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Раковина + смеситель</t>
  </si>
  <si>
    <t>Кабинка с дверью сантехническая</t>
  </si>
  <si>
    <t>Поддон душевой со смесителем</t>
  </si>
  <si>
    <t>Винтовые сваи диам.114мм L=3,5м.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</si>
  <si>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</si>
  <si>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</si>
  <si>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</si>
  <si>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</si>
  <si>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Монтаж второго и третьего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</si>
  <si>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</si>
  <si>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</si>
  <si>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</si>
  <si>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</si>
  <si>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</si>
  <si>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</si>
  <si>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</si>
  <si>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</si>
  <si>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</si>
  <si>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</si>
  <si>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</si>
  <si>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</si>
  <si>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</si>
  <si>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</si>
  <si>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</si>
  <si>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Монтаж стального покрытия</t>
  </si>
  <si>
    <t>Металлический рифленый лист 3 мм</t>
  </si>
  <si>
    <t>Укладка кафеля на пол</t>
  </si>
  <si>
    <t>Клей для кафеля и керамогранита</t>
  </si>
  <si>
    <t>Монтаж облицовки потолков</t>
  </si>
  <si>
    <t>%</t>
  </si>
  <si>
    <t>Монтаж металлоконструкций крыльц</t>
  </si>
  <si>
    <t>Двери внутренние двухстворчатые</t>
  </si>
  <si>
    <t>Дверь входная двухстворчатая металлическая</t>
  </si>
  <si>
    <t xml:space="preserve">Раздел 9. Инженерные сети </t>
  </si>
  <si>
    <t>Раздел 10. Проектные работы</t>
  </si>
  <si>
    <t>Раздел 12. Аренда автокрана</t>
  </si>
  <si>
    <t>Раздел 13. Сантехническое оборудование:</t>
  </si>
  <si>
    <t>Писуар</t>
  </si>
  <si>
    <t>Раздел 14. Мебель:</t>
  </si>
  <si>
    <t>Кровать ЛДСП одноярусная с рундуком 800х2000мм</t>
  </si>
  <si>
    <t>шт.</t>
  </si>
  <si>
    <t>Тумба прикроватная 450х450м</t>
  </si>
  <si>
    <t>Стол письменный 1200х600мм</t>
  </si>
  <si>
    <t>Стул ИЗО</t>
  </si>
  <si>
    <t>Шкаф для одежды ЛДСП с полками 600х600х1800мм</t>
  </si>
  <si>
    <t>Шкаф для одежды ЛДСП с перекладиной 600х600х1800мм</t>
  </si>
  <si>
    <t>Стол обеденный 1200х800мм</t>
  </si>
  <si>
    <t>Стул кухонный</t>
  </si>
  <si>
    <t>Холодильник двухкамерный импортный</t>
  </si>
  <si>
    <t>Электроплита четырехконфорочная импортная</t>
  </si>
  <si>
    <t>Тумба с мойкой нерж. двойной</t>
  </si>
  <si>
    <t>Стол-тумба кухонный напольный 800х600мм</t>
  </si>
  <si>
    <t>Шкаф навесной 800х300мм</t>
  </si>
  <si>
    <t xml:space="preserve">Стиральная машина бытовая с загрузкой на 10кг импортная </t>
  </si>
  <si>
    <t>рейс</t>
  </si>
  <si>
    <t>Раздел 15. Доставка</t>
  </si>
  <si>
    <t>Кровать ЛДСП двухярусная 700х2000мм</t>
  </si>
  <si>
    <t>фундамент силами Заказчика</t>
  </si>
  <si>
    <t>Внутренняя высота</t>
  </si>
  <si>
    <t>Евровагонка</t>
  </si>
  <si>
    <t>Подсистема под  панели</t>
  </si>
  <si>
    <t>Кафель для пола</t>
  </si>
  <si>
    <t>Панели ПВХ с комплектующими для подсистемы</t>
  </si>
  <si>
    <t xml:space="preserve">Конструкции металлические крыльц </t>
  </si>
  <si>
    <t>тн</t>
  </si>
  <si>
    <t>Лестница для эвакуационного выхода</t>
  </si>
  <si>
    <t>Лестница для 2-х эт здания</t>
  </si>
  <si>
    <t>Неучтенные работы и материалы (около 1 %)</t>
  </si>
  <si>
    <t>Устройство цоколя (материал)</t>
  </si>
  <si>
    <t>Водонагреватель TI 200/L ARISTON 200 л</t>
  </si>
  <si>
    <t>Электроконветор 1,5 кВт с термостатом</t>
  </si>
  <si>
    <t>Септик 5м3</t>
  </si>
  <si>
    <t>Монтаж металлоконструкций тамбура</t>
  </si>
  <si>
    <t>Металлоконструкции тамбура</t>
  </si>
  <si>
    <t>Монтаж сендвич панелей тамбура</t>
  </si>
  <si>
    <t>Сендвич панели б=250мм</t>
  </si>
  <si>
    <t>МЗ, Алроса</t>
  </si>
  <si>
    <t>МЗ</t>
  </si>
  <si>
    <t>п.Накын</t>
  </si>
  <si>
    <t>200/250/250</t>
  </si>
  <si>
    <t>Модуль без 1 длинной и 1короткой стороны, 6,229*2,434м, 200/250/250</t>
  </si>
  <si>
    <t>Модуль без 2 длинных и 1короткой стороны, 6,229*2,434м, 200/250/250</t>
  </si>
  <si>
    <t>Раздел 8. Лестницы, крыльца, тамбура</t>
  </si>
  <si>
    <t>Раздел 11. Накладные расходы</t>
  </si>
  <si>
    <t>Стоимость монтажных работ с накладными расходами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</si>
</sst>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0" fillId="2" borderId="4" xfId="1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zoomScaleNormal="100" workbookViewId="0">
      <pane ySplit="8" topLeftCell="A90" activePane="bottomLeft" state="frozen"/>
      <selection pane="bottomLeft" activeCell="F123" sqref="F123"/>
    </sheetView>
  </sheetViews>
  <sheetFormatPr defaultRowHeight="15" outlineLevelRow="1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10" ht="31.5" customHeight="1" x14ac:dyDescent="0.25">
      <c r="A1" s="77" t="str">
        <f>C2</f>
        <v>МЗ</v>
      </c>
      <c r="B1" s="77"/>
      <c r="C1" s="78" t="str">
        <f>C3</f>
        <v>МЗ, Алроса</v>
      </c>
      <c r="D1" s="78"/>
      <c r="E1" s="78"/>
      <c r="F1" s="78"/>
    </row>
    <row r="2" spans="1:10" x14ac:dyDescent="0.25">
      <c r="A2" s="38">
        <v>1</v>
      </c>
      <c r="B2" s="39" t="s">
        <v>2</v>
      </c>
      <c r="C2" s="72" t="s">
        <v>130</v>
      </c>
      <c r="D2" s="72"/>
      <c r="E2" s="72"/>
      <c r="F2" s="72"/>
    </row>
    <row r="3" spans="1:10" x14ac:dyDescent="0.25">
      <c r="A3" s="38">
        <v>2</v>
      </c>
      <c r="B3" s="39" t="s">
        <v>0</v>
      </c>
      <c r="C3" s="72" t="s">
        <v>129</v>
      </c>
      <c r="D3" s="72"/>
      <c r="E3" s="72"/>
      <c r="F3" s="72"/>
    </row>
    <row r="4" spans="1:10" ht="14.25" customHeight="1" x14ac:dyDescent="0.25">
      <c r="A4" s="38">
        <v>3</v>
      </c>
      <c r="B4" s="39" t="s">
        <v>1</v>
      </c>
      <c r="C4" s="74" t="s">
        <v>131</v>
      </c>
      <c r="D4" s="75"/>
      <c r="E4" s="75"/>
      <c r="F4" s="76"/>
    </row>
    <row r="5" spans="1:10" ht="15.75" customHeight="1" x14ac:dyDescent="0.25">
      <c r="A5" s="38">
        <v>4</v>
      </c>
      <c r="B5" s="39" t="s">
        <v>111</v>
      </c>
      <c r="C5" s="74">
        <v>2.5</v>
      </c>
      <c r="D5" s="75"/>
      <c r="E5" s="75"/>
      <c r="F5" s="76"/>
    </row>
    <row r="6" spans="1:10" ht="17.25" customHeight="1" x14ac:dyDescent="0.25">
      <c r="A6" s="38">
        <v>5</v>
      </c>
      <c r="B6" s="39" t="s">
        <v>50</v>
      </c>
      <c r="C6" s="72" t="s">
        <v>132</v>
      </c>
      <c r="D6" s="72"/>
      <c r="E6" s="42" t="s">
        <v>49</v>
      </c>
      <c r="F6" s="59">
        <f>12.472*9.782</f>
        <v>122.001104</v>
      </c>
    </row>
    <row r="7" spans="1:10" x14ac:dyDescent="0.25">
      <c r="A7" s="38">
        <v>6</v>
      </c>
      <c r="B7" s="39" t="s">
        <v>3</v>
      </c>
      <c r="C7" s="74" t="s">
        <v>110</v>
      </c>
      <c r="D7" s="75"/>
      <c r="E7" s="75"/>
      <c r="F7" s="76"/>
    </row>
    <row r="8" spans="1:10" ht="63.75" x14ac:dyDescent="0.25">
      <c r="A8" s="38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  <c r="G8" s="80" t="s">
        <v>137</v>
      </c>
      <c r="H8" s="79">
        <f>((F18+F19+D23*180+F30+F31+F32+F33+F35+F37+F46+F50+F59+F61+F76+F78)*1.01+F86+F92)*1.08+F94+F96</f>
        <v>431725.65758489608</v>
      </c>
      <c r="I8" s="79"/>
      <c r="J8" s="55"/>
    </row>
    <row r="9" spans="1:10" ht="18.75" x14ac:dyDescent="0.25">
      <c r="A9" s="38">
        <v>8</v>
      </c>
      <c r="B9" s="5" t="s">
        <v>34</v>
      </c>
      <c r="C9" s="4"/>
      <c r="D9" s="4"/>
      <c r="E9" s="4"/>
      <c r="F9" s="4"/>
    </row>
    <row r="10" spans="1:10" x14ac:dyDescent="0.25">
      <c r="A10" s="38">
        <v>9</v>
      </c>
      <c r="B10" s="6" t="s">
        <v>28</v>
      </c>
      <c r="C10" s="13" t="s">
        <v>29</v>
      </c>
      <c r="D10" s="13">
        <v>8</v>
      </c>
      <c r="E10" s="10">
        <v>170</v>
      </c>
      <c r="F10" s="9"/>
    </row>
    <row r="11" spans="1:10" x14ac:dyDescent="0.25">
      <c r="A11" s="38">
        <v>10</v>
      </c>
      <c r="B11" s="6" t="s">
        <v>56</v>
      </c>
      <c r="C11" s="13" t="s">
        <v>13</v>
      </c>
      <c r="D11" s="13">
        <v>20</v>
      </c>
      <c r="E11" s="10">
        <v>5500</v>
      </c>
      <c r="F11" s="9"/>
    </row>
    <row r="12" spans="1:10" x14ac:dyDescent="0.25">
      <c r="A12" s="38">
        <v>11</v>
      </c>
      <c r="B12" s="6" t="s">
        <v>30</v>
      </c>
      <c r="C12" s="13" t="s">
        <v>19</v>
      </c>
      <c r="D12" s="13">
        <f>D11*0.5</f>
        <v>10</v>
      </c>
      <c r="E12" s="10">
        <v>2000</v>
      </c>
      <c r="F12" s="9"/>
    </row>
    <row r="13" spans="1:10" x14ac:dyDescent="0.25">
      <c r="A13" s="38">
        <v>12</v>
      </c>
      <c r="B13" s="6" t="s">
        <v>31</v>
      </c>
      <c r="C13" s="13" t="s">
        <v>13</v>
      </c>
      <c r="D13" s="13">
        <f>D11</f>
        <v>20</v>
      </c>
      <c r="E13" s="10">
        <v>250</v>
      </c>
      <c r="F13" s="9"/>
    </row>
    <row r="14" spans="1:10" x14ac:dyDescent="0.25">
      <c r="A14" s="38">
        <v>13</v>
      </c>
      <c r="B14" s="6" t="s">
        <v>57</v>
      </c>
      <c r="C14" s="13" t="s">
        <v>11</v>
      </c>
      <c r="D14" s="52">
        <f>18.4*(9.782*3)/1000</f>
        <v>0.53996639999999996</v>
      </c>
      <c r="E14" s="10">
        <v>7000</v>
      </c>
      <c r="F14" s="9"/>
    </row>
    <row r="15" spans="1:10" x14ac:dyDescent="0.25">
      <c r="A15" s="38">
        <v>14</v>
      </c>
      <c r="B15" s="6" t="s">
        <v>58</v>
      </c>
      <c r="C15" s="13" t="str">
        <f>VLOOKUP(B15,[1]Фундаменты!Прайс,2,FALSE)</f>
        <v>тн</v>
      </c>
      <c r="D15" s="52">
        <f>D14</f>
        <v>0.53996639999999996</v>
      </c>
      <c r="E15" s="10">
        <v>33500</v>
      </c>
      <c r="F15" s="9"/>
    </row>
    <row r="16" spans="1:10" x14ac:dyDescent="0.25">
      <c r="A16" s="38">
        <v>15</v>
      </c>
      <c r="B16" s="7" t="s">
        <v>4</v>
      </c>
      <c r="C16" s="14"/>
      <c r="D16" s="14"/>
      <c r="E16" s="11"/>
      <c r="F16" s="15">
        <f>SUM(F10:F15)</f>
        <v>0</v>
      </c>
    </row>
    <row r="17" spans="1:6" ht="18.75" x14ac:dyDescent="0.25">
      <c r="A17" s="38">
        <v>16</v>
      </c>
      <c r="B17" s="5" t="s">
        <v>22</v>
      </c>
      <c r="C17" s="4"/>
      <c r="D17" s="4"/>
      <c r="E17" s="4"/>
      <c r="F17" s="4"/>
    </row>
    <row r="18" spans="1:6" x14ac:dyDescent="0.25">
      <c r="A18" s="38">
        <v>17</v>
      </c>
      <c r="B18" s="6" t="s">
        <v>59</v>
      </c>
      <c r="C18" s="13" t="s">
        <v>62</v>
      </c>
      <c r="D18" s="13">
        <v>8</v>
      </c>
      <c r="E18" s="10">
        <v>2000</v>
      </c>
      <c r="F18" s="9">
        <f>D18*E18</f>
        <v>16000</v>
      </c>
    </row>
    <row r="19" spans="1:6" x14ac:dyDescent="0.25">
      <c r="A19" s="38">
        <v>18</v>
      </c>
      <c r="B19" s="6" t="s">
        <v>60</v>
      </c>
      <c r="C19" s="13" t="s">
        <v>62</v>
      </c>
      <c r="D19" s="13">
        <v>8</v>
      </c>
      <c r="E19" s="10">
        <v>2000</v>
      </c>
      <c r="F19" s="9">
        <f t="shared" ref="F19:F23" si="0">D19*E19</f>
        <v>16000</v>
      </c>
    </row>
    <row r="20" spans="1:6" x14ac:dyDescent="0.25">
      <c r="A20" s="38">
        <v>19</v>
      </c>
      <c r="B20" s="6" t="s">
        <v>61</v>
      </c>
      <c r="C20" s="13" t="s">
        <v>62</v>
      </c>
      <c r="D20" s="13">
        <v>0</v>
      </c>
      <c r="E20" s="10">
        <v>3000</v>
      </c>
      <c r="F20" s="9">
        <f t="shared" si="0"/>
        <v>0</v>
      </c>
    </row>
    <row r="21" spans="1:6" ht="30" x14ac:dyDescent="0.25">
      <c r="A21" s="38">
        <v>20</v>
      </c>
      <c r="B21" s="6" t="s">
        <v>133</v>
      </c>
      <c r="C21" s="13" t="s">
        <v>62</v>
      </c>
      <c r="D21" s="13">
        <v>4</v>
      </c>
      <c r="E21" s="10">
        <v>156371</v>
      </c>
      <c r="F21" s="9">
        <f t="shared" si="0"/>
        <v>625484</v>
      </c>
    </row>
    <row r="22" spans="1:6" ht="30" x14ac:dyDescent="0.25">
      <c r="A22" s="38">
        <v>21</v>
      </c>
      <c r="B22" s="6" t="s">
        <v>134</v>
      </c>
      <c r="C22" s="13" t="s">
        <v>62</v>
      </c>
      <c r="D22" s="13">
        <v>4</v>
      </c>
      <c r="E22" s="10">
        <v>138996</v>
      </c>
      <c r="F22" s="9">
        <f t="shared" si="0"/>
        <v>555984</v>
      </c>
    </row>
    <row r="23" spans="1:6" x14ac:dyDescent="0.25">
      <c r="A23" s="38">
        <v>24</v>
      </c>
      <c r="B23" s="6" t="s">
        <v>121</v>
      </c>
      <c r="C23" s="13" t="s">
        <v>12</v>
      </c>
      <c r="D23" s="53">
        <f>(9.782*2+12.472*2)*0.7</f>
        <v>31.155599999999996</v>
      </c>
      <c r="E23" s="10">
        <v>600</v>
      </c>
      <c r="F23" s="9">
        <f t="shared" si="0"/>
        <v>18693.359999999997</v>
      </c>
    </row>
    <row r="24" spans="1:6" x14ac:dyDescent="0.25">
      <c r="A24" s="38">
        <v>25</v>
      </c>
      <c r="B24" s="7" t="s">
        <v>4</v>
      </c>
      <c r="C24" s="14"/>
      <c r="D24" s="14"/>
      <c r="E24" s="11"/>
      <c r="F24" s="15">
        <f>SUM(F18:F23)</f>
        <v>1232161.3600000001</v>
      </c>
    </row>
    <row r="25" spans="1:6" ht="15.75" x14ac:dyDescent="0.25">
      <c r="A25" s="38">
        <v>26</v>
      </c>
      <c r="B25" s="5" t="s">
        <v>23</v>
      </c>
      <c r="C25" s="12"/>
      <c r="D25" s="12"/>
      <c r="E25" s="8"/>
      <c r="F25" s="9"/>
    </row>
    <row r="26" spans="1:6" x14ac:dyDescent="0.25">
      <c r="A26" s="38">
        <v>27</v>
      </c>
      <c r="B26" s="6" t="s">
        <v>63</v>
      </c>
      <c r="C26" s="13" t="str">
        <f>VLOOKUP(B26,[2]Кровля!Прайс,2,FALSE)</f>
        <v>тн</v>
      </c>
      <c r="D26" s="53">
        <f>0.015*F6</f>
        <v>1.8300165599999998</v>
      </c>
      <c r="E26" s="10">
        <v>42000</v>
      </c>
      <c r="F26" s="9">
        <f>D26*E26</f>
        <v>76860.695519999994</v>
      </c>
    </row>
    <row r="27" spans="1:6" x14ac:dyDescent="0.25">
      <c r="A27" s="38">
        <v>28</v>
      </c>
      <c r="B27" s="6" t="s">
        <v>47</v>
      </c>
      <c r="C27" s="13" t="str">
        <f>VLOOKUP(B27,[2]Кровля!Прайс,2,FALSE)</f>
        <v>м2</v>
      </c>
      <c r="D27" s="53">
        <f>1.1*F6</f>
        <v>134.2012144</v>
      </c>
      <c r="E27" s="10">
        <v>370</v>
      </c>
      <c r="F27" s="9">
        <f t="shared" ref="F27:F38" si="1">D27*E27</f>
        <v>49654.449328000002</v>
      </c>
    </row>
    <row r="28" spans="1:6" x14ac:dyDescent="0.25">
      <c r="A28" s="38">
        <v>29</v>
      </c>
      <c r="B28" s="6" t="s">
        <v>64</v>
      </c>
      <c r="C28" s="13" t="str">
        <f>VLOOKUP(B28,[2]Кровля!Прайс,2,FALSE)</f>
        <v>м3</v>
      </c>
      <c r="D28" s="53">
        <f>D27*0.04/4</f>
        <v>1.3420121439999999</v>
      </c>
      <c r="E28" s="10">
        <v>6500</v>
      </c>
      <c r="F28" s="9">
        <f t="shared" si="1"/>
        <v>8723.0789359999999</v>
      </c>
    </row>
    <row r="29" spans="1:6" x14ac:dyDescent="0.25">
      <c r="A29" s="38">
        <v>30</v>
      </c>
      <c r="B29" s="6" t="s">
        <v>65</v>
      </c>
      <c r="C29" s="13" t="s">
        <v>66</v>
      </c>
      <c r="D29" s="53">
        <v>26</v>
      </c>
      <c r="E29" s="10">
        <v>650</v>
      </c>
      <c r="F29" s="9">
        <f t="shared" si="1"/>
        <v>16900</v>
      </c>
    </row>
    <row r="30" spans="1:6" x14ac:dyDescent="0.25">
      <c r="A30" s="38">
        <v>31</v>
      </c>
      <c r="B30" s="6" t="s">
        <v>67</v>
      </c>
      <c r="C30" s="13" t="str">
        <f>VLOOKUP(B30,[2]Кровля!Прайс,2,FALSE)</f>
        <v>тн</v>
      </c>
      <c r="D30" s="53">
        <f>D26</f>
        <v>1.8300165599999998</v>
      </c>
      <c r="E30" s="10">
        <v>7000</v>
      </c>
      <c r="F30" s="9">
        <f t="shared" si="1"/>
        <v>12810.115919999998</v>
      </c>
    </row>
    <row r="31" spans="1:6" x14ac:dyDescent="0.25">
      <c r="A31" s="38">
        <v>32</v>
      </c>
      <c r="B31" s="6" t="s">
        <v>68</v>
      </c>
      <c r="C31" s="13" t="str">
        <f>VLOOKUP(B31,[2]Кровля!Прайс,2,FALSE)</f>
        <v>м2</v>
      </c>
      <c r="D31" s="53">
        <f>D27</f>
        <v>134.2012144</v>
      </c>
      <c r="E31" s="10">
        <v>250</v>
      </c>
      <c r="F31" s="9">
        <f t="shared" si="1"/>
        <v>33550.303599999999</v>
      </c>
    </row>
    <row r="32" spans="1:6" x14ac:dyDescent="0.25">
      <c r="A32" s="38">
        <v>33</v>
      </c>
      <c r="B32" s="6" t="s">
        <v>69</v>
      </c>
      <c r="C32" s="13" t="str">
        <f>VLOOKUP(B32,[2]Кровля!Прайс,2,FALSE)</f>
        <v>м</v>
      </c>
      <c r="D32" s="53">
        <v>26</v>
      </c>
      <c r="E32" s="10">
        <f>E29*40%</f>
        <v>260</v>
      </c>
      <c r="F32" s="9">
        <f t="shared" si="1"/>
        <v>6760</v>
      </c>
    </row>
    <row r="33" spans="1:6" x14ac:dyDescent="0.25">
      <c r="A33" s="38">
        <v>34</v>
      </c>
      <c r="B33" s="6" t="s">
        <v>70</v>
      </c>
      <c r="C33" s="13" t="str">
        <f>VLOOKUP(B33,[1]Кровля!Прайс,2,FALSE)</f>
        <v>шт</v>
      </c>
      <c r="D33" s="53">
        <v>4</v>
      </c>
      <c r="E33" s="10">
        <v>250</v>
      </c>
      <c r="F33" s="9">
        <f t="shared" si="1"/>
        <v>1000</v>
      </c>
    </row>
    <row r="34" spans="1:6" x14ac:dyDescent="0.25">
      <c r="A34" s="38">
        <v>35</v>
      </c>
      <c r="B34" s="6" t="s">
        <v>71</v>
      </c>
      <c r="C34" s="13" t="str">
        <f>VLOOKUP(B34,[1]Кровля!Прайс,2,FALSE)</f>
        <v>шт</v>
      </c>
      <c r="D34" s="53">
        <v>4</v>
      </c>
      <c r="E34" s="10">
        <v>360</v>
      </c>
      <c r="F34" s="9">
        <f t="shared" si="1"/>
        <v>1440</v>
      </c>
    </row>
    <row r="35" spans="1:6" x14ac:dyDescent="0.25">
      <c r="A35" s="38">
        <v>36</v>
      </c>
      <c r="B35" s="6" t="s">
        <v>72</v>
      </c>
      <c r="C35" s="13" t="str">
        <f>VLOOKUP(B35,[1]Кровля!Прайс,2,FALSE)</f>
        <v>м</v>
      </c>
      <c r="D35" s="53">
        <v>13</v>
      </c>
      <c r="E35" s="10">
        <v>120</v>
      </c>
      <c r="F35" s="9">
        <f t="shared" si="1"/>
        <v>1560</v>
      </c>
    </row>
    <row r="36" spans="1:6" x14ac:dyDescent="0.25">
      <c r="A36" s="38">
        <v>37</v>
      </c>
      <c r="B36" s="6" t="s">
        <v>73</v>
      </c>
      <c r="C36" s="13" t="s">
        <v>12</v>
      </c>
      <c r="D36" s="53">
        <f>D35*0.4</f>
        <v>5.2</v>
      </c>
      <c r="E36" s="10">
        <v>480</v>
      </c>
      <c r="F36" s="9">
        <f t="shared" si="1"/>
        <v>2496</v>
      </c>
    </row>
    <row r="37" spans="1:6" x14ac:dyDescent="0.25">
      <c r="A37" s="38">
        <v>38</v>
      </c>
      <c r="B37" s="6" t="s">
        <v>74</v>
      </c>
      <c r="C37" s="13" t="str">
        <f>VLOOKUP(B37,[1]Кровля!Прайс,2,FALSE)</f>
        <v>м2</v>
      </c>
      <c r="D37" s="53">
        <f>D35*2*0.8</f>
        <v>20.8</v>
      </c>
      <c r="E37" s="10">
        <v>180</v>
      </c>
      <c r="F37" s="9">
        <f t="shared" si="1"/>
        <v>3744</v>
      </c>
    </row>
    <row r="38" spans="1:6" x14ac:dyDescent="0.25">
      <c r="A38" s="38">
        <v>39</v>
      </c>
      <c r="B38" s="6" t="s">
        <v>75</v>
      </c>
      <c r="C38" s="13" t="str">
        <f>VLOOKUP(B38,[1]Кровля!Прайс,2,FALSE)</f>
        <v>м2</v>
      </c>
      <c r="D38" s="53">
        <f>D37</f>
        <v>20.8</v>
      </c>
      <c r="E38" s="10">
        <v>353</v>
      </c>
      <c r="F38" s="9">
        <f t="shared" si="1"/>
        <v>7342.4000000000005</v>
      </c>
    </row>
    <row r="39" spans="1:6" x14ac:dyDescent="0.25">
      <c r="A39" s="38">
        <v>40</v>
      </c>
      <c r="B39" s="6" t="s">
        <v>76</v>
      </c>
      <c r="C39" s="13" t="str">
        <f>VLOOKUP(B39,[1]Кровля!Прайс,2,FALSE)</f>
        <v>компл</v>
      </c>
      <c r="D39" s="53">
        <f>D27</f>
        <v>134.2012144</v>
      </c>
      <c r="E39" s="10">
        <v>75</v>
      </c>
      <c r="F39" s="9">
        <f t="shared" ref="F27:F39" si="2">D39*E39</f>
        <v>10065.09108</v>
      </c>
    </row>
    <row r="40" spans="1:6" x14ac:dyDescent="0.25">
      <c r="A40" s="38">
        <v>41</v>
      </c>
      <c r="B40" s="7" t="s">
        <v>4</v>
      </c>
      <c r="C40" s="14"/>
      <c r="D40" s="14"/>
      <c r="E40" s="11"/>
      <c r="F40" s="15">
        <f>SUM(F26:F39)</f>
        <v>232906.13438400003</v>
      </c>
    </row>
    <row r="41" spans="1:6" ht="21.75" customHeight="1" x14ac:dyDescent="0.25">
      <c r="A41" s="38">
        <v>42</v>
      </c>
      <c r="B41" s="5" t="s">
        <v>38</v>
      </c>
      <c r="C41" s="12"/>
      <c r="D41" s="12"/>
      <c r="E41" s="8"/>
      <c r="F41" s="9"/>
    </row>
    <row r="42" spans="1:6" x14ac:dyDescent="0.25">
      <c r="A42" s="38">
        <v>43</v>
      </c>
      <c r="B42" s="6" t="s">
        <v>16</v>
      </c>
      <c r="C42" s="13" t="s">
        <v>13</v>
      </c>
      <c r="D42" s="13">
        <v>4</v>
      </c>
      <c r="E42" s="10">
        <v>5000</v>
      </c>
      <c r="F42" s="9">
        <f t="shared" ref="F42:F46" si="3">D42*E42</f>
        <v>20000</v>
      </c>
    </row>
    <row r="43" spans="1:6" x14ac:dyDescent="0.25">
      <c r="A43" s="38">
        <v>44</v>
      </c>
      <c r="B43" s="6" t="s">
        <v>84</v>
      </c>
      <c r="C43" s="13" t="s">
        <v>13</v>
      </c>
      <c r="D43" s="13">
        <v>0</v>
      </c>
      <c r="E43" s="10">
        <v>8500</v>
      </c>
      <c r="F43" s="9">
        <f t="shared" si="3"/>
        <v>0</v>
      </c>
    </row>
    <row r="44" spans="1:6" x14ac:dyDescent="0.25">
      <c r="A44" s="38">
        <v>45</v>
      </c>
      <c r="B44" s="6" t="s">
        <v>17</v>
      </c>
      <c r="C44" s="13" t="s">
        <v>13</v>
      </c>
      <c r="D44" s="13">
        <v>4</v>
      </c>
      <c r="E44" s="10">
        <v>13500</v>
      </c>
      <c r="F44" s="9">
        <f t="shared" si="3"/>
        <v>54000</v>
      </c>
    </row>
    <row r="45" spans="1:6" x14ac:dyDescent="0.25">
      <c r="A45" s="38">
        <v>46</v>
      </c>
      <c r="B45" s="6" t="s">
        <v>85</v>
      </c>
      <c r="C45" s="13" t="s">
        <v>13</v>
      </c>
      <c r="D45" s="13">
        <v>0</v>
      </c>
      <c r="E45" s="10">
        <v>27000</v>
      </c>
      <c r="F45" s="9">
        <f t="shared" si="3"/>
        <v>0</v>
      </c>
    </row>
    <row r="46" spans="1:6" x14ac:dyDescent="0.25">
      <c r="A46" s="38">
        <v>47</v>
      </c>
      <c r="B46" s="6" t="s">
        <v>27</v>
      </c>
      <c r="C46" s="13" t="s">
        <v>13</v>
      </c>
      <c r="D46" s="13">
        <v>8</v>
      </c>
      <c r="E46" s="10">
        <v>1500</v>
      </c>
      <c r="F46" s="9">
        <f t="shared" si="3"/>
        <v>12000</v>
      </c>
    </row>
    <row r="47" spans="1:6" x14ac:dyDescent="0.25">
      <c r="A47" s="38">
        <v>48</v>
      </c>
      <c r="B47" s="7" t="s">
        <v>4</v>
      </c>
      <c r="C47" s="14"/>
      <c r="D47" s="14"/>
      <c r="E47" s="11"/>
      <c r="F47" s="15">
        <f>SUM(F42:F46)</f>
        <v>86000</v>
      </c>
    </row>
    <row r="48" spans="1:6" ht="15.75" x14ac:dyDescent="0.25">
      <c r="A48" s="38">
        <v>49</v>
      </c>
      <c r="B48" s="5" t="s">
        <v>24</v>
      </c>
      <c r="C48" s="12"/>
      <c r="D48" s="12"/>
      <c r="E48" s="8"/>
      <c r="F48" s="9"/>
    </row>
    <row r="49" spans="1:6" x14ac:dyDescent="0.25">
      <c r="A49" s="38">
        <v>50</v>
      </c>
      <c r="B49" s="6" t="s">
        <v>15</v>
      </c>
      <c r="C49" s="13" t="s">
        <v>12</v>
      </c>
      <c r="D49" s="53">
        <f>(29)*C5</f>
        <v>72.5</v>
      </c>
      <c r="E49" s="10">
        <v>1100</v>
      </c>
      <c r="F49" s="9">
        <f>D49*E49</f>
        <v>79750</v>
      </c>
    </row>
    <row r="50" spans="1:6" x14ac:dyDescent="0.25">
      <c r="A50" s="38">
        <v>51</v>
      </c>
      <c r="B50" s="6" t="s">
        <v>18</v>
      </c>
      <c r="C50" s="13" t="s">
        <v>12</v>
      </c>
      <c r="D50" s="53">
        <f>D49</f>
        <v>72.5</v>
      </c>
      <c r="E50" s="10">
        <v>120</v>
      </c>
      <c r="F50" s="9">
        <f>D50*E50</f>
        <v>8700</v>
      </c>
    </row>
    <row r="51" spans="1:6" x14ac:dyDescent="0.25">
      <c r="A51" s="38">
        <v>52</v>
      </c>
      <c r="B51" s="7" t="s">
        <v>4</v>
      </c>
      <c r="C51" s="14"/>
      <c r="D51" s="14"/>
      <c r="E51" s="11"/>
      <c r="F51" s="15">
        <f>SUM(F49:F50)</f>
        <v>88450</v>
      </c>
    </row>
    <row r="52" spans="1:6" ht="15.75" x14ac:dyDescent="0.25">
      <c r="A52" s="38">
        <v>53</v>
      </c>
      <c r="B52" s="5" t="s">
        <v>40</v>
      </c>
      <c r="C52" s="12"/>
      <c r="D52" s="12"/>
      <c r="E52" s="8"/>
      <c r="F52" s="9"/>
    </row>
    <row r="53" spans="1:6" x14ac:dyDescent="0.25">
      <c r="A53" s="38">
        <v>54</v>
      </c>
      <c r="B53" s="17" t="s">
        <v>35</v>
      </c>
      <c r="C53" s="13"/>
      <c r="D53" s="13"/>
      <c r="E53" s="10"/>
      <c r="F53" s="9"/>
    </row>
    <row r="54" spans="1:6" x14ac:dyDescent="0.25">
      <c r="A54" s="38">
        <v>55</v>
      </c>
      <c r="B54" s="6" t="s">
        <v>36</v>
      </c>
      <c r="C54" s="13" t="s">
        <v>12</v>
      </c>
      <c r="D54" s="13">
        <v>0</v>
      </c>
      <c r="E54" s="10">
        <v>180</v>
      </c>
      <c r="F54" s="9">
        <f t="shared" ref="F54:F69" si="4">D54*E54</f>
        <v>0</v>
      </c>
    </row>
    <row r="55" spans="1:6" x14ac:dyDescent="0.25">
      <c r="A55" s="38">
        <v>56</v>
      </c>
      <c r="B55" s="6" t="s">
        <v>112</v>
      </c>
      <c r="C55" s="13" t="s">
        <v>12</v>
      </c>
      <c r="D55" s="13">
        <v>0</v>
      </c>
      <c r="E55" s="10">
        <v>580</v>
      </c>
      <c r="F55" s="9">
        <f t="shared" si="4"/>
        <v>0</v>
      </c>
    </row>
    <row r="56" spans="1:6" x14ac:dyDescent="0.25">
      <c r="A56" s="38">
        <v>57</v>
      </c>
      <c r="B56" s="6" t="s">
        <v>113</v>
      </c>
      <c r="C56" s="13" t="s">
        <v>12</v>
      </c>
      <c r="D56" s="13">
        <f>D54+D55</f>
        <v>0</v>
      </c>
      <c r="E56" s="10">
        <v>95</v>
      </c>
      <c r="F56" s="9">
        <f t="shared" si="4"/>
        <v>0</v>
      </c>
    </row>
    <row r="57" spans="1:6" x14ac:dyDescent="0.25">
      <c r="A57" s="38">
        <v>58</v>
      </c>
      <c r="B57" s="6" t="s">
        <v>37</v>
      </c>
      <c r="C57" s="13" t="s">
        <v>12</v>
      </c>
      <c r="D57" s="13">
        <f>D56</f>
        <v>0</v>
      </c>
      <c r="E57" s="10">
        <v>150</v>
      </c>
      <c r="F57" s="9">
        <f t="shared" si="4"/>
        <v>0</v>
      </c>
    </row>
    <row r="58" spans="1:6" x14ac:dyDescent="0.25">
      <c r="A58" s="38">
        <v>59</v>
      </c>
      <c r="B58" s="17" t="s">
        <v>32</v>
      </c>
      <c r="C58" s="13"/>
      <c r="D58" s="13"/>
      <c r="E58" s="10"/>
      <c r="F58" s="9">
        <f t="shared" si="4"/>
        <v>0</v>
      </c>
    </row>
    <row r="59" spans="1:6" x14ac:dyDescent="0.25">
      <c r="A59" s="38">
        <v>60</v>
      </c>
      <c r="B59" s="6" t="s">
        <v>25</v>
      </c>
      <c r="C59" s="13" t="s">
        <v>12</v>
      </c>
      <c r="D59" s="53">
        <f>D60</f>
        <v>110.14</v>
      </c>
      <c r="E59" s="10">
        <v>100</v>
      </c>
      <c r="F59" s="9">
        <f t="shared" si="4"/>
        <v>11014</v>
      </c>
    </row>
    <row r="60" spans="1:6" x14ac:dyDescent="0.25">
      <c r="A60" s="38">
        <v>61</v>
      </c>
      <c r="B60" s="6" t="s">
        <v>48</v>
      </c>
      <c r="C60" s="13" t="s">
        <v>12</v>
      </c>
      <c r="D60" s="53">
        <f>18.18+36.58+9.4+9.4+36.58</f>
        <v>110.14</v>
      </c>
      <c r="E60" s="10">
        <v>350</v>
      </c>
      <c r="F60" s="9">
        <f t="shared" si="4"/>
        <v>38549</v>
      </c>
    </row>
    <row r="61" spans="1:6" x14ac:dyDescent="0.25">
      <c r="A61" s="38">
        <v>62</v>
      </c>
      <c r="B61" s="6" t="s">
        <v>77</v>
      </c>
      <c r="C61" s="13" t="str">
        <f>VLOOKUP(B61,[1]Отделка!Прайс,2,FALSE)</f>
        <v>м2</v>
      </c>
      <c r="D61" s="13">
        <v>2.88</v>
      </c>
      <c r="E61" s="10">
        <v>360</v>
      </c>
      <c r="F61" s="9">
        <f t="shared" si="4"/>
        <v>1036.8</v>
      </c>
    </row>
    <row r="62" spans="1:6" x14ac:dyDescent="0.25">
      <c r="A62" s="38">
        <v>63</v>
      </c>
      <c r="B62" s="6" t="s">
        <v>78</v>
      </c>
      <c r="C62" s="13" t="str">
        <f>VLOOKUP(B62,[1]Отделка!Прайс,2,FALSE)</f>
        <v>м2</v>
      </c>
      <c r="D62" s="13">
        <f>D61</f>
        <v>2.88</v>
      </c>
      <c r="E62" s="10">
        <v>635.85</v>
      </c>
      <c r="F62" s="9">
        <f t="shared" si="4"/>
        <v>1831.248</v>
      </c>
    </row>
    <row r="63" spans="1:6" x14ac:dyDescent="0.25">
      <c r="A63" s="38">
        <v>64</v>
      </c>
      <c r="B63" s="6" t="s">
        <v>79</v>
      </c>
      <c r="C63" s="13" t="str">
        <f>VLOOKUP(B63,[1]Отделка!Прайс,2,FALSE)</f>
        <v>м2</v>
      </c>
      <c r="D63" s="13">
        <v>0</v>
      </c>
      <c r="E63" s="10">
        <v>450</v>
      </c>
      <c r="F63" s="9">
        <f t="shared" si="4"/>
        <v>0</v>
      </c>
    </row>
    <row r="64" spans="1:6" x14ac:dyDescent="0.25">
      <c r="A64" s="38">
        <v>65</v>
      </c>
      <c r="B64" s="6" t="s">
        <v>114</v>
      </c>
      <c r="C64" s="13" t="s">
        <v>12</v>
      </c>
      <c r="D64" s="13">
        <f>D63</f>
        <v>0</v>
      </c>
      <c r="E64" s="10">
        <v>600</v>
      </c>
      <c r="F64" s="9">
        <f t="shared" si="4"/>
        <v>0</v>
      </c>
    </row>
    <row r="65" spans="1:6" x14ac:dyDescent="0.25">
      <c r="A65" s="38">
        <v>66</v>
      </c>
      <c r="B65" s="6" t="s">
        <v>80</v>
      </c>
      <c r="C65" s="13" t="str">
        <f>VLOOKUP(B65,[1]Отделка!Прайс,2,FALSE)</f>
        <v>кг</v>
      </c>
      <c r="D65" s="13">
        <f>D63*5</f>
        <v>0</v>
      </c>
      <c r="E65" s="10">
        <v>11.7</v>
      </c>
      <c r="F65" s="9">
        <f t="shared" si="4"/>
        <v>0</v>
      </c>
    </row>
    <row r="66" spans="1:6" ht="15.75" x14ac:dyDescent="0.25">
      <c r="A66" s="38">
        <v>67</v>
      </c>
      <c r="B66" s="17" t="s">
        <v>39</v>
      </c>
      <c r="C66" s="12"/>
      <c r="D66" s="12"/>
      <c r="E66" s="8"/>
      <c r="F66" s="9">
        <f t="shared" si="4"/>
        <v>0</v>
      </c>
    </row>
    <row r="67" spans="1:6" ht="18" customHeight="1" x14ac:dyDescent="0.25">
      <c r="A67" s="38">
        <v>68</v>
      </c>
      <c r="B67" s="6" t="s">
        <v>81</v>
      </c>
      <c r="C67" s="13" t="str">
        <f>VLOOKUP(B67,[1]Отделка!Прайс,2,FALSE)</f>
        <v>м2</v>
      </c>
      <c r="D67" s="13">
        <f>D68+D69</f>
        <v>0</v>
      </c>
      <c r="E67" s="10">
        <v>180</v>
      </c>
      <c r="F67" s="9">
        <f t="shared" si="4"/>
        <v>0</v>
      </c>
    </row>
    <row r="68" spans="1:6" ht="18" customHeight="1" x14ac:dyDescent="0.25">
      <c r="A68" s="38">
        <v>69</v>
      </c>
      <c r="B68" s="6" t="s">
        <v>112</v>
      </c>
      <c r="C68" s="13" t="s">
        <v>12</v>
      </c>
      <c r="D68" s="13">
        <v>0</v>
      </c>
      <c r="E68" s="10">
        <v>580</v>
      </c>
      <c r="F68" s="9">
        <f t="shared" si="4"/>
        <v>0</v>
      </c>
    </row>
    <row r="69" spans="1:6" x14ac:dyDescent="0.25">
      <c r="A69" s="38">
        <v>70</v>
      </c>
      <c r="B69" s="6" t="s">
        <v>115</v>
      </c>
      <c r="C69" s="13" t="s">
        <v>12</v>
      </c>
      <c r="D69" s="13">
        <v>0</v>
      </c>
      <c r="E69" s="10">
        <v>275</v>
      </c>
      <c r="F69" s="9">
        <f t="shared" si="4"/>
        <v>0</v>
      </c>
    </row>
    <row r="70" spans="1:6" x14ac:dyDescent="0.25">
      <c r="A70" s="38">
        <v>71</v>
      </c>
      <c r="B70" s="7" t="s">
        <v>4</v>
      </c>
      <c r="C70" s="14"/>
      <c r="D70" s="14"/>
      <c r="E70" s="11"/>
      <c r="F70" s="15">
        <f>SUM(F53:F69)</f>
        <v>52431.048000000003</v>
      </c>
    </row>
    <row r="71" spans="1:6" ht="15.75" x14ac:dyDescent="0.25">
      <c r="A71" s="38">
        <v>72</v>
      </c>
      <c r="B71" s="5" t="s">
        <v>135</v>
      </c>
      <c r="C71" s="56"/>
      <c r="D71" s="56"/>
      <c r="E71" s="57"/>
      <c r="F71" s="58"/>
    </row>
    <row r="72" spans="1:6" x14ac:dyDescent="0.25">
      <c r="A72" s="38">
        <v>73</v>
      </c>
      <c r="B72" s="6" t="s">
        <v>83</v>
      </c>
      <c r="C72" s="13" t="str">
        <f>VLOOKUP(B72,'[1]Лестницы, крыльца'!Прайс,2,FALSE)</f>
        <v>тн</v>
      </c>
      <c r="D72" s="13"/>
      <c r="E72" s="10">
        <v>9000</v>
      </c>
      <c r="F72" s="9">
        <f>D72*E72</f>
        <v>0</v>
      </c>
    </row>
    <row r="73" spans="1:6" x14ac:dyDescent="0.25">
      <c r="A73" s="38">
        <v>74</v>
      </c>
      <c r="B73" s="6" t="s">
        <v>116</v>
      </c>
      <c r="C73" s="13" t="s">
        <v>117</v>
      </c>
      <c r="D73" s="13"/>
      <c r="E73" s="10">
        <v>77000</v>
      </c>
      <c r="F73" s="9">
        <f t="shared" ref="F73:F79" si="5">D73*E73</f>
        <v>0</v>
      </c>
    </row>
    <row r="74" spans="1:6" x14ac:dyDescent="0.25">
      <c r="A74" s="38">
        <v>75</v>
      </c>
      <c r="B74" s="6" t="s">
        <v>118</v>
      </c>
      <c r="C74" s="13" t="s">
        <v>117</v>
      </c>
      <c r="D74" s="13"/>
      <c r="E74" s="10">
        <v>77000</v>
      </c>
      <c r="F74" s="9">
        <f t="shared" si="5"/>
        <v>0</v>
      </c>
    </row>
    <row r="75" spans="1:6" x14ac:dyDescent="0.25">
      <c r="A75" s="38">
        <v>76</v>
      </c>
      <c r="B75" s="6" t="s">
        <v>119</v>
      </c>
      <c r="C75" s="13" t="s">
        <v>117</v>
      </c>
      <c r="D75" s="13"/>
      <c r="E75" s="10">
        <v>77000</v>
      </c>
      <c r="F75" s="9">
        <f t="shared" si="5"/>
        <v>0</v>
      </c>
    </row>
    <row r="76" spans="1:6" x14ac:dyDescent="0.25">
      <c r="A76" s="38">
        <v>77</v>
      </c>
      <c r="B76" s="6" t="s">
        <v>125</v>
      </c>
      <c r="C76" s="13" t="s">
        <v>117</v>
      </c>
      <c r="D76" s="13">
        <v>0.43</v>
      </c>
      <c r="E76" s="10">
        <v>11000</v>
      </c>
      <c r="F76" s="9">
        <f t="shared" si="5"/>
        <v>4730</v>
      </c>
    </row>
    <row r="77" spans="1:6" x14ac:dyDescent="0.25">
      <c r="A77" s="38">
        <v>78</v>
      </c>
      <c r="B77" s="6" t="s">
        <v>126</v>
      </c>
      <c r="C77" s="13" t="s">
        <v>117</v>
      </c>
      <c r="D77" s="13">
        <v>0.43</v>
      </c>
      <c r="E77" s="10">
        <v>11000</v>
      </c>
      <c r="F77" s="9">
        <f t="shared" si="5"/>
        <v>4730</v>
      </c>
    </row>
    <row r="78" spans="1:6" x14ac:dyDescent="0.25">
      <c r="A78" s="38">
        <v>79</v>
      </c>
      <c r="B78" s="6" t="s">
        <v>127</v>
      </c>
      <c r="C78" s="13" t="s">
        <v>12</v>
      </c>
      <c r="D78" s="13">
        <v>30</v>
      </c>
      <c r="E78" s="10">
        <v>150</v>
      </c>
      <c r="F78" s="9">
        <f t="shared" si="5"/>
        <v>4500</v>
      </c>
    </row>
    <row r="79" spans="1:6" x14ac:dyDescent="0.25">
      <c r="A79" s="38">
        <v>80</v>
      </c>
      <c r="B79" s="6" t="s">
        <v>128</v>
      </c>
      <c r="C79" s="13" t="s">
        <v>12</v>
      </c>
      <c r="D79" s="13">
        <v>30</v>
      </c>
      <c r="E79" s="10">
        <v>1750</v>
      </c>
      <c r="F79" s="9">
        <f t="shared" si="5"/>
        <v>52500</v>
      </c>
    </row>
    <row r="80" spans="1:6" x14ac:dyDescent="0.25">
      <c r="A80" s="38">
        <v>81</v>
      </c>
      <c r="B80" s="7" t="s">
        <v>4</v>
      </c>
      <c r="C80" s="13"/>
      <c r="D80" s="14"/>
      <c r="E80" s="11"/>
      <c r="F80" s="15">
        <f>SUM(F72:F79)</f>
        <v>66460</v>
      </c>
    </row>
    <row r="81" spans="1:6" ht="15.75" x14ac:dyDescent="0.25">
      <c r="A81" s="38">
        <v>82</v>
      </c>
      <c r="B81" s="23" t="s">
        <v>14</v>
      </c>
      <c r="C81" s="24"/>
      <c r="D81" s="24"/>
      <c r="E81" s="25"/>
      <c r="F81" s="26">
        <f>SUM(F10:F80)/2</f>
        <v>1758408.5423840003</v>
      </c>
    </row>
    <row r="82" spans="1:6" ht="15.75" x14ac:dyDescent="0.25">
      <c r="A82" s="38">
        <v>83</v>
      </c>
      <c r="B82" s="27" t="s">
        <v>120</v>
      </c>
      <c r="C82" s="54" t="s">
        <v>82</v>
      </c>
      <c r="D82" s="54">
        <v>1</v>
      </c>
      <c r="E82" s="28"/>
      <c r="F82" s="29">
        <f>F81*D82%</f>
        <v>17584.085423840002</v>
      </c>
    </row>
    <row r="83" spans="1:6" ht="21" x14ac:dyDescent="0.35">
      <c r="A83" s="38">
        <v>84</v>
      </c>
      <c r="B83" s="30" t="s">
        <v>20</v>
      </c>
      <c r="C83" s="31"/>
      <c r="D83" s="31"/>
      <c r="E83" s="32"/>
      <c r="F83" s="33">
        <f>F81+F82</f>
        <v>1775992.6278078402</v>
      </c>
    </row>
    <row r="84" spans="1:6" ht="15.75" x14ac:dyDescent="0.25">
      <c r="A84" s="38">
        <v>85</v>
      </c>
      <c r="B84" s="19" t="s">
        <v>86</v>
      </c>
      <c r="C84" s="12"/>
      <c r="D84" s="12"/>
      <c r="E84" s="8"/>
      <c r="F84" s="9"/>
    </row>
    <row r="85" spans="1:6" ht="15.75" x14ac:dyDescent="0.25">
      <c r="A85" s="38">
        <v>86</v>
      </c>
      <c r="B85" s="18" t="s">
        <v>41</v>
      </c>
      <c r="C85" s="13" t="s">
        <v>12</v>
      </c>
      <c r="D85" s="60">
        <f>F6</f>
        <v>122.001104</v>
      </c>
      <c r="E85" s="10">
        <v>700</v>
      </c>
      <c r="F85" s="9">
        <f>D85*E85</f>
        <v>85400.772799999992</v>
      </c>
    </row>
    <row r="86" spans="1:6" ht="15.75" x14ac:dyDescent="0.25">
      <c r="A86" s="38">
        <v>87</v>
      </c>
      <c r="B86" s="18" t="s">
        <v>21</v>
      </c>
      <c r="C86" s="13" t="s">
        <v>12</v>
      </c>
      <c r="D86" s="60">
        <f>D85</f>
        <v>122.001104</v>
      </c>
      <c r="E86" s="10">
        <f>E85*50%</f>
        <v>350</v>
      </c>
      <c r="F86" s="9">
        <f t="shared" ref="F86:F92" si="6">D86*E86</f>
        <v>42700.386399999996</v>
      </c>
    </row>
    <row r="87" spans="1:6" ht="15" customHeight="1" x14ac:dyDescent="0.25">
      <c r="A87" s="38">
        <v>88</v>
      </c>
      <c r="B87" s="22" t="s">
        <v>51</v>
      </c>
      <c r="C87" s="13" t="s">
        <v>12</v>
      </c>
      <c r="D87" s="60">
        <f t="shared" ref="D87:D92" si="7">D86</f>
        <v>122.001104</v>
      </c>
      <c r="E87" s="10">
        <v>0</v>
      </c>
      <c r="F87" s="9">
        <f t="shared" si="6"/>
        <v>0</v>
      </c>
    </row>
    <row r="88" spans="1:6" ht="15.75" x14ac:dyDescent="0.25">
      <c r="A88" s="38">
        <v>89</v>
      </c>
      <c r="B88" s="22" t="s">
        <v>33</v>
      </c>
      <c r="C88" s="13" t="s">
        <v>12</v>
      </c>
      <c r="D88" s="60">
        <f t="shared" si="7"/>
        <v>122.001104</v>
      </c>
      <c r="E88" s="10">
        <f>E87*50%</f>
        <v>0</v>
      </c>
      <c r="F88" s="9">
        <f t="shared" si="6"/>
        <v>0</v>
      </c>
    </row>
    <row r="89" spans="1:6" ht="15.75" x14ac:dyDescent="0.25">
      <c r="A89" s="38">
        <v>90</v>
      </c>
      <c r="B89" s="22" t="s">
        <v>42</v>
      </c>
      <c r="C89" s="13" t="s">
        <v>12</v>
      </c>
      <c r="D89" s="60">
        <f t="shared" si="7"/>
        <v>122.001104</v>
      </c>
      <c r="E89" s="10">
        <v>0</v>
      </c>
      <c r="F89" s="9">
        <f t="shared" si="6"/>
        <v>0</v>
      </c>
    </row>
    <row r="90" spans="1:6" ht="15.75" x14ac:dyDescent="0.25">
      <c r="A90" s="38">
        <v>91</v>
      </c>
      <c r="B90" s="22" t="s">
        <v>43</v>
      </c>
      <c r="C90" s="13" t="s">
        <v>12</v>
      </c>
      <c r="D90" s="60">
        <f t="shared" si="7"/>
        <v>122.001104</v>
      </c>
      <c r="E90" s="10">
        <f>E89*50%</f>
        <v>0</v>
      </c>
      <c r="F90" s="9">
        <f t="shared" si="6"/>
        <v>0</v>
      </c>
    </row>
    <row r="91" spans="1:6" ht="15.75" x14ac:dyDescent="0.25">
      <c r="A91" s="38">
        <v>92</v>
      </c>
      <c r="B91" s="22" t="s">
        <v>44</v>
      </c>
      <c r="C91" s="13" t="s">
        <v>12</v>
      </c>
      <c r="D91" s="60">
        <f t="shared" si="7"/>
        <v>122.001104</v>
      </c>
      <c r="E91" s="10">
        <v>120</v>
      </c>
      <c r="F91" s="9">
        <f t="shared" si="6"/>
        <v>14640.13248</v>
      </c>
    </row>
    <row r="92" spans="1:6" ht="15.75" x14ac:dyDescent="0.25">
      <c r="A92" s="38">
        <v>93</v>
      </c>
      <c r="B92" s="22" t="s">
        <v>45</v>
      </c>
      <c r="C92" s="13" t="s">
        <v>12</v>
      </c>
      <c r="D92" s="60">
        <f t="shared" si="7"/>
        <v>122.001104</v>
      </c>
      <c r="E92" s="10">
        <f>E91*120%</f>
        <v>144</v>
      </c>
      <c r="F92" s="9">
        <f t="shared" si="6"/>
        <v>17568.158975999999</v>
      </c>
    </row>
    <row r="93" spans="1:6" ht="15.75" x14ac:dyDescent="0.25">
      <c r="A93" s="38">
        <v>94</v>
      </c>
      <c r="B93" s="20" t="s">
        <v>4</v>
      </c>
      <c r="C93" s="13"/>
      <c r="D93" s="53"/>
      <c r="E93" s="10"/>
      <c r="F93" s="21">
        <f>SUM(F85:F92)</f>
        <v>160309.450656</v>
      </c>
    </row>
    <row r="94" spans="1:6" ht="15.75" x14ac:dyDescent="0.25">
      <c r="A94" s="38">
        <v>95</v>
      </c>
      <c r="B94" s="19" t="s">
        <v>87</v>
      </c>
      <c r="C94" s="13" t="s">
        <v>62</v>
      </c>
      <c r="D94" s="53">
        <v>1</v>
      </c>
      <c r="E94" s="10">
        <f>35000+50000+30000+20000</f>
        <v>135000</v>
      </c>
      <c r="F94" s="21">
        <f>D94*E94</f>
        <v>135000</v>
      </c>
    </row>
    <row r="95" spans="1:6" ht="18.75" x14ac:dyDescent="0.3">
      <c r="A95" s="38">
        <v>96</v>
      </c>
      <c r="B95" s="43" t="s">
        <v>136</v>
      </c>
      <c r="C95" s="34" t="s">
        <v>82</v>
      </c>
      <c r="D95" s="34">
        <v>8</v>
      </c>
      <c r="E95" s="35"/>
      <c r="F95" s="36">
        <f>(F83+F93)*D95%</f>
        <v>154904.16627710723</v>
      </c>
    </row>
    <row r="96" spans="1:6" ht="18.75" x14ac:dyDescent="0.3">
      <c r="A96" s="38">
        <v>97</v>
      </c>
      <c r="B96" s="43" t="s">
        <v>88</v>
      </c>
      <c r="C96" s="34" t="s">
        <v>19</v>
      </c>
      <c r="D96" s="34">
        <v>40</v>
      </c>
      <c r="E96" s="35">
        <v>2000</v>
      </c>
      <c r="F96" s="36">
        <f>D96*E96</f>
        <v>80000</v>
      </c>
    </row>
    <row r="97" spans="1:8" ht="15.75" x14ac:dyDescent="0.25">
      <c r="A97" s="38">
        <v>98</v>
      </c>
      <c r="B97" s="43" t="s">
        <v>89</v>
      </c>
      <c r="C97" s="44"/>
      <c r="D97" s="44"/>
      <c r="E97" s="45"/>
      <c r="F97" s="46">
        <f>SUM(F98:F105)</f>
        <v>25600</v>
      </c>
      <c r="G97" s="55"/>
      <c r="H97" s="55"/>
    </row>
    <row r="98" spans="1:8" x14ac:dyDescent="0.25">
      <c r="A98" s="38">
        <v>99</v>
      </c>
      <c r="B98" s="47" t="s">
        <v>52</v>
      </c>
      <c r="C98" s="48" t="s">
        <v>13</v>
      </c>
      <c r="D98" s="48">
        <v>0</v>
      </c>
      <c r="E98" s="49">
        <v>5000</v>
      </c>
      <c r="F98" s="50">
        <f>D98*E98</f>
        <v>0</v>
      </c>
    </row>
    <row r="99" spans="1:8" x14ac:dyDescent="0.25">
      <c r="A99" s="38">
        <v>100</v>
      </c>
      <c r="B99" s="47" t="s">
        <v>90</v>
      </c>
      <c r="C99" s="48" t="s">
        <v>13</v>
      </c>
      <c r="D99" s="48">
        <v>0</v>
      </c>
      <c r="E99" s="49">
        <v>4000</v>
      </c>
      <c r="F99" s="50">
        <f>D99*E99</f>
        <v>0</v>
      </c>
    </row>
    <row r="100" spans="1:8" x14ac:dyDescent="0.25">
      <c r="A100" s="38">
        <v>101</v>
      </c>
      <c r="B100" s="47" t="s">
        <v>53</v>
      </c>
      <c r="C100" s="48" t="s">
        <v>13</v>
      </c>
      <c r="D100" s="48">
        <v>0</v>
      </c>
      <c r="E100" s="49">
        <v>4000</v>
      </c>
      <c r="F100" s="50">
        <f t="shared" ref="F100:F105" si="8">D100*E100</f>
        <v>0</v>
      </c>
    </row>
    <row r="101" spans="1:8" x14ac:dyDescent="0.25">
      <c r="A101" s="38">
        <v>102</v>
      </c>
      <c r="B101" s="47" t="s">
        <v>123</v>
      </c>
      <c r="C101" s="48" t="s">
        <v>13</v>
      </c>
      <c r="D101" s="48">
        <v>8</v>
      </c>
      <c r="E101" s="49">
        <v>3200</v>
      </c>
      <c r="F101" s="50">
        <f t="shared" si="8"/>
        <v>25600</v>
      </c>
      <c r="G101" s="55"/>
    </row>
    <row r="102" spans="1:8" x14ac:dyDescent="0.25">
      <c r="A102" s="38">
        <v>103</v>
      </c>
      <c r="B102" s="47" t="s">
        <v>122</v>
      </c>
      <c r="C102" s="48" t="s">
        <v>13</v>
      </c>
      <c r="D102" s="48">
        <v>0</v>
      </c>
      <c r="E102" s="49">
        <v>26000</v>
      </c>
      <c r="F102" s="50">
        <f t="shared" si="8"/>
        <v>0</v>
      </c>
    </row>
    <row r="103" spans="1:8" x14ac:dyDescent="0.25">
      <c r="A103" s="38">
        <v>104</v>
      </c>
      <c r="B103" s="47" t="s">
        <v>124</v>
      </c>
      <c r="C103" s="48" t="s">
        <v>13</v>
      </c>
      <c r="D103" s="48">
        <v>0</v>
      </c>
      <c r="E103" s="49">
        <v>80000</v>
      </c>
      <c r="F103" s="50">
        <f t="shared" si="8"/>
        <v>0</v>
      </c>
    </row>
    <row r="104" spans="1:8" x14ac:dyDescent="0.25">
      <c r="A104" s="38">
        <v>105</v>
      </c>
      <c r="B104" s="47" t="s">
        <v>54</v>
      </c>
      <c r="C104" s="48" t="s">
        <v>12</v>
      </c>
      <c r="D104" s="48">
        <v>0</v>
      </c>
      <c r="E104" s="49">
        <v>1800</v>
      </c>
      <c r="F104" s="50">
        <f t="shared" si="8"/>
        <v>0</v>
      </c>
    </row>
    <row r="105" spans="1:8" x14ac:dyDescent="0.25">
      <c r="A105" s="38">
        <v>106</v>
      </c>
      <c r="B105" s="51" t="s">
        <v>55</v>
      </c>
      <c r="C105" s="48" t="s">
        <v>13</v>
      </c>
      <c r="D105" s="48">
        <v>0</v>
      </c>
      <c r="E105" s="49">
        <v>6000</v>
      </c>
      <c r="F105" s="50">
        <f t="shared" si="8"/>
        <v>0</v>
      </c>
    </row>
    <row r="106" spans="1:8" ht="15.75" x14ac:dyDescent="0.25">
      <c r="A106" s="38">
        <v>107</v>
      </c>
      <c r="B106" s="63" t="s">
        <v>91</v>
      </c>
      <c r="C106" s="64"/>
      <c r="D106" s="64"/>
      <c r="E106" s="45"/>
      <c r="F106" s="46">
        <f>SUM(F107:F121)</f>
        <v>0</v>
      </c>
      <c r="G106" s="55"/>
      <c r="H106" s="55"/>
    </row>
    <row r="107" spans="1:8" hidden="1" outlineLevel="1" x14ac:dyDescent="0.25">
      <c r="A107" s="38">
        <v>108</v>
      </c>
      <c r="B107" s="67" t="s">
        <v>92</v>
      </c>
      <c r="C107" s="68" t="s">
        <v>93</v>
      </c>
      <c r="D107" s="69"/>
      <c r="E107" s="62">
        <v>3000</v>
      </c>
      <c r="F107" s="50">
        <f>D107*E107</f>
        <v>0</v>
      </c>
    </row>
    <row r="108" spans="1:8" hidden="1" outlineLevel="1" x14ac:dyDescent="0.25">
      <c r="A108" s="38">
        <v>109</v>
      </c>
      <c r="B108" s="67" t="s">
        <v>109</v>
      </c>
      <c r="C108" s="68" t="s">
        <v>93</v>
      </c>
      <c r="D108" s="69"/>
      <c r="E108" s="62">
        <v>4200</v>
      </c>
      <c r="F108" s="50">
        <f>D108*E108</f>
        <v>0</v>
      </c>
    </row>
    <row r="109" spans="1:8" hidden="1" outlineLevel="1" x14ac:dyDescent="0.25">
      <c r="A109" s="38">
        <v>110</v>
      </c>
      <c r="B109" s="67" t="s">
        <v>94</v>
      </c>
      <c r="C109" s="68" t="s">
        <v>93</v>
      </c>
      <c r="D109" s="69"/>
      <c r="E109" s="62">
        <v>1500</v>
      </c>
      <c r="F109" s="50">
        <f t="shared" ref="F109:F121" si="9">D109*E109</f>
        <v>0</v>
      </c>
    </row>
    <row r="110" spans="1:8" hidden="1" outlineLevel="1" x14ac:dyDescent="0.25">
      <c r="A110" s="38">
        <v>111</v>
      </c>
      <c r="B110" s="67" t="s">
        <v>95</v>
      </c>
      <c r="C110" s="68" t="s">
        <v>93</v>
      </c>
      <c r="D110" s="69"/>
      <c r="E110" s="62">
        <v>2500</v>
      </c>
      <c r="F110" s="50">
        <f t="shared" si="9"/>
        <v>0</v>
      </c>
    </row>
    <row r="111" spans="1:8" hidden="1" outlineLevel="1" x14ac:dyDescent="0.25">
      <c r="A111" s="38">
        <v>112</v>
      </c>
      <c r="B111" s="67" t="s">
        <v>96</v>
      </c>
      <c r="C111" s="68" t="s">
        <v>93</v>
      </c>
      <c r="D111" s="69"/>
      <c r="E111" s="62">
        <v>1500</v>
      </c>
      <c r="F111" s="50">
        <f t="shared" si="9"/>
        <v>0</v>
      </c>
    </row>
    <row r="112" spans="1:8" hidden="1" outlineLevel="1" x14ac:dyDescent="0.25">
      <c r="A112" s="38">
        <v>113</v>
      </c>
      <c r="B112" s="67" t="s">
        <v>97</v>
      </c>
      <c r="C112" s="68" t="s">
        <v>93</v>
      </c>
      <c r="D112" s="69"/>
      <c r="E112" s="62">
        <v>6500</v>
      </c>
      <c r="F112" s="50">
        <f t="shared" si="9"/>
        <v>0</v>
      </c>
    </row>
    <row r="113" spans="1:6" hidden="1" outlineLevel="1" x14ac:dyDescent="0.25">
      <c r="A113" s="38">
        <v>114</v>
      </c>
      <c r="B113" s="67" t="s">
        <v>98</v>
      </c>
      <c r="C113" s="68" t="s">
        <v>93</v>
      </c>
      <c r="D113" s="69"/>
      <c r="E113" s="62">
        <v>6500</v>
      </c>
      <c r="F113" s="50">
        <f t="shared" si="9"/>
        <v>0</v>
      </c>
    </row>
    <row r="114" spans="1:6" hidden="1" outlineLevel="1" x14ac:dyDescent="0.25">
      <c r="A114" s="38">
        <v>115</v>
      </c>
      <c r="B114" s="67" t="s">
        <v>99</v>
      </c>
      <c r="C114" s="68" t="s">
        <v>93</v>
      </c>
      <c r="D114" s="69"/>
      <c r="E114" s="62">
        <v>9500</v>
      </c>
      <c r="F114" s="50">
        <f t="shared" si="9"/>
        <v>0</v>
      </c>
    </row>
    <row r="115" spans="1:6" hidden="1" outlineLevel="1" x14ac:dyDescent="0.25">
      <c r="A115" s="38">
        <v>116</v>
      </c>
      <c r="B115" s="67" t="s">
        <v>100</v>
      </c>
      <c r="C115" s="68" t="s">
        <v>93</v>
      </c>
      <c r="D115" s="69"/>
      <c r="E115" s="62">
        <v>4500</v>
      </c>
      <c r="F115" s="50">
        <f t="shared" si="9"/>
        <v>0</v>
      </c>
    </row>
    <row r="116" spans="1:6" hidden="1" outlineLevel="1" x14ac:dyDescent="0.25">
      <c r="A116" s="38">
        <v>117</v>
      </c>
      <c r="B116" s="67" t="s">
        <v>101</v>
      </c>
      <c r="C116" s="68" t="s">
        <v>93</v>
      </c>
      <c r="D116" s="69"/>
      <c r="E116" s="62">
        <v>20000</v>
      </c>
      <c r="F116" s="50">
        <f t="shared" si="9"/>
        <v>0</v>
      </c>
    </row>
    <row r="117" spans="1:6" hidden="1" outlineLevel="1" x14ac:dyDescent="0.25">
      <c r="A117" s="38">
        <v>118</v>
      </c>
      <c r="B117" s="67" t="s">
        <v>102</v>
      </c>
      <c r="C117" s="68" t="s">
        <v>93</v>
      </c>
      <c r="D117" s="69"/>
      <c r="E117" s="62">
        <v>18000</v>
      </c>
      <c r="F117" s="50">
        <f t="shared" si="9"/>
        <v>0</v>
      </c>
    </row>
    <row r="118" spans="1:6" hidden="1" outlineLevel="1" x14ac:dyDescent="0.25">
      <c r="A118" s="38">
        <v>119</v>
      </c>
      <c r="B118" s="67" t="s">
        <v>103</v>
      </c>
      <c r="C118" s="68" t="s">
        <v>93</v>
      </c>
      <c r="D118" s="69"/>
      <c r="E118" s="62">
        <v>3500</v>
      </c>
      <c r="F118" s="50">
        <f t="shared" si="9"/>
        <v>0</v>
      </c>
    </row>
    <row r="119" spans="1:6" hidden="1" outlineLevel="1" x14ac:dyDescent="0.25">
      <c r="A119" s="38">
        <v>120</v>
      </c>
      <c r="B119" s="67" t="s">
        <v>104</v>
      </c>
      <c r="C119" s="68" t="s">
        <v>93</v>
      </c>
      <c r="D119" s="69"/>
      <c r="E119" s="62">
        <v>1800</v>
      </c>
      <c r="F119" s="50">
        <f t="shared" si="9"/>
        <v>0</v>
      </c>
    </row>
    <row r="120" spans="1:6" hidden="1" outlineLevel="1" x14ac:dyDescent="0.25">
      <c r="A120" s="38">
        <v>121</v>
      </c>
      <c r="B120" s="67" t="s">
        <v>105</v>
      </c>
      <c r="C120" s="68" t="s">
        <v>93</v>
      </c>
      <c r="D120" s="69"/>
      <c r="E120" s="62">
        <v>1200</v>
      </c>
      <c r="F120" s="50">
        <f t="shared" si="9"/>
        <v>0</v>
      </c>
    </row>
    <row r="121" spans="1:6" hidden="1" outlineLevel="1" x14ac:dyDescent="0.25">
      <c r="A121" s="38">
        <v>122</v>
      </c>
      <c r="B121" s="67" t="s">
        <v>106</v>
      </c>
      <c r="C121" s="68" t="s">
        <v>93</v>
      </c>
      <c r="D121" s="69"/>
      <c r="E121" s="62">
        <v>12000</v>
      </c>
      <c r="F121" s="50">
        <f t="shared" si="9"/>
        <v>0</v>
      </c>
    </row>
    <row r="122" spans="1:6" ht="15.75" collapsed="1" x14ac:dyDescent="0.25">
      <c r="A122" s="38">
        <v>123</v>
      </c>
      <c r="B122" s="43" t="s">
        <v>108</v>
      </c>
      <c r="C122" s="70" t="s">
        <v>107</v>
      </c>
      <c r="D122" s="70">
        <v>0</v>
      </c>
      <c r="E122" s="71">
        <v>545000</v>
      </c>
      <c r="F122" s="46">
        <f>D122*E122</f>
        <v>0</v>
      </c>
    </row>
    <row r="123" spans="1:6" ht="46.5" x14ac:dyDescent="0.25">
      <c r="A123" s="38">
        <v>124</v>
      </c>
      <c r="B123" s="65" t="s">
        <v>5</v>
      </c>
      <c r="C123" s="66"/>
      <c r="D123" s="66"/>
      <c r="E123" s="16"/>
      <c r="F123" s="37">
        <f>F83+F93+F95+F96+F94+F97+F106+F122</f>
        <v>2331806.2447409476</v>
      </c>
    </row>
    <row r="124" spans="1:6" x14ac:dyDescent="0.25">
      <c r="A124" s="38">
        <v>125</v>
      </c>
      <c r="B124" s="40" t="s">
        <v>26</v>
      </c>
      <c r="C124" s="61">
        <v>3</v>
      </c>
      <c r="D124" s="73" t="s">
        <v>46</v>
      </c>
      <c r="E124" s="73"/>
      <c r="F124" s="41">
        <f>F123/F6</f>
        <v>19112.992983579457</v>
      </c>
    </row>
    <row r="125" spans="1:6" x14ac:dyDescent="0.25">
      <c r="A125"/>
      <c r="C125"/>
      <c r="D125"/>
      <c r="F125" s="1"/>
    </row>
    <row r="126" spans="1:6" x14ac:dyDescent="0.25">
      <c r="A126"/>
      <c r="C126"/>
      <c r="D126"/>
      <c r="F126" s="1"/>
    </row>
    <row r="127" spans="1:6" x14ac:dyDescent="0.25">
      <c r="A127"/>
      <c r="C127"/>
      <c r="D127"/>
      <c r="F127" s="1"/>
    </row>
    <row r="128" spans="1:6" x14ac:dyDescent="0.25">
      <c r="A128"/>
      <c r="C128"/>
      <c r="D128"/>
      <c r="F128" s="1"/>
    </row>
  </sheetData>
  <autoFilter ref="A7:F124">
    <filterColumn colId="2" showButton="0"/>
    <filterColumn colId="3" showButton="0"/>
    <filterColumn colId="4" showButton="0"/>
  </autoFilter>
  <mergeCells count="9">
    <mergeCell ref="A1:B1"/>
    <mergeCell ref="C1:F1"/>
    <mergeCell ref="C2:F2"/>
    <mergeCell ref="C3:F3"/>
    <mergeCell ref="D124:E124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26:B39">
      <formula1>кровля</formula1>
    </dataValidation>
    <dataValidation type="list" allowBlank="1" showInputMessage="1" showErrorMessage="1" sqref="B61:B65 B67 B69">
      <formula1>отделка</formula1>
    </dataValidation>
    <dataValidation type="list" allowBlank="1" showInputMessage="1" showErrorMessage="1" sqref="B72:B79">
      <formula1>лестницы</formula1>
    </dataValidation>
    <dataValidation type="list" allowBlank="1" showInputMessage="1" showErrorMessage="1" sqref="B71">
      <formula1>прочие</formula1>
    </dataValidation>
    <dataValidation type="list" allowBlank="1" showInputMessage="1" showErrorMessage="1" sqref="B18:B23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2014-07-17T12:50:01Z</dcterms:modified>
</cp:coreProperties>
</file>