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 activeTab="1"/>
  </bookViews>
  <sheets>
    <sheet name="Себестоимость" sheetId="1" r:id="rId1"/>
    <sheet name="Рыночная стоимость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F107" i="2" l="1"/>
  <c r="J8" i="2"/>
  <c r="E87" i="2" l="1"/>
  <c r="E11" i="2"/>
  <c r="E12" i="2"/>
  <c r="E13" i="2"/>
  <c r="E14" i="2"/>
  <c r="E15" i="2"/>
  <c r="E18" i="2"/>
  <c r="E19" i="2"/>
  <c r="F19" i="2" s="1"/>
  <c r="E20" i="2"/>
  <c r="F20" i="2" s="1"/>
  <c r="E21" i="2"/>
  <c r="F21" i="2" s="1"/>
  <c r="E22" i="2"/>
  <c r="F22" i="2" s="1"/>
  <c r="E23" i="2"/>
  <c r="E24" i="2"/>
  <c r="E25" i="2"/>
  <c r="E28" i="2"/>
  <c r="E29" i="2"/>
  <c r="E30" i="2"/>
  <c r="E31" i="2"/>
  <c r="E32" i="2"/>
  <c r="E33" i="2"/>
  <c r="E35" i="2"/>
  <c r="F35" i="2" s="1"/>
  <c r="E36" i="2"/>
  <c r="E37" i="2"/>
  <c r="F37" i="2" s="1"/>
  <c r="E38" i="2"/>
  <c r="E39" i="2"/>
  <c r="E42" i="2"/>
  <c r="F42" i="2" s="1"/>
  <c r="E43" i="2"/>
  <c r="F43" i="2" s="1"/>
  <c r="E44" i="2"/>
  <c r="F44" i="2" s="1"/>
  <c r="E47" i="2"/>
  <c r="E48" i="2"/>
  <c r="E52" i="2"/>
  <c r="E53" i="2"/>
  <c r="E54" i="2"/>
  <c r="E56" i="2"/>
  <c r="E57" i="2"/>
  <c r="E58" i="2"/>
  <c r="E59" i="2"/>
  <c r="E60" i="2"/>
  <c r="E61" i="2"/>
  <c r="E62" i="2"/>
  <c r="E64" i="2"/>
  <c r="F64" i="2" s="1"/>
  <c r="E65" i="2"/>
  <c r="E68" i="2"/>
  <c r="E69" i="2"/>
  <c r="E70" i="2"/>
  <c r="E71" i="2"/>
  <c r="E77" i="2"/>
  <c r="E79" i="2"/>
  <c r="E81" i="2"/>
  <c r="E82" i="2"/>
  <c r="E83" i="2"/>
  <c r="E86" i="2"/>
  <c r="F86" i="2" s="1"/>
  <c r="I8" i="2" s="1"/>
  <c r="E88" i="2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" i="2"/>
  <c r="F10" i="2" s="1"/>
  <c r="M84" i="2"/>
  <c r="E84" i="2" s="1"/>
  <c r="M82" i="2"/>
  <c r="M80" i="2"/>
  <c r="E80" i="2" s="1"/>
  <c r="M78" i="2"/>
  <c r="E78" i="2" s="1"/>
  <c r="M34" i="2"/>
  <c r="E34" i="2" s="1"/>
  <c r="D71" i="2"/>
  <c r="D70" i="2"/>
  <c r="F70" i="2" s="1"/>
  <c r="D69" i="2"/>
  <c r="D65" i="2"/>
  <c r="C64" i="2"/>
  <c r="C62" i="2"/>
  <c r="D60" i="2"/>
  <c r="D62" i="2" s="1"/>
  <c r="C60" i="2"/>
  <c r="C59" i="2"/>
  <c r="D58" i="2"/>
  <c r="D59" i="2" s="1"/>
  <c r="C58" i="2"/>
  <c r="D52" i="2"/>
  <c r="D53" i="2" s="1"/>
  <c r="D47" i="2"/>
  <c r="D48" i="2" s="1"/>
  <c r="C39" i="2"/>
  <c r="D38" i="2"/>
  <c r="C38" i="2"/>
  <c r="D37" i="2"/>
  <c r="C37" i="2"/>
  <c r="D36" i="2"/>
  <c r="C36" i="2"/>
  <c r="C35" i="2"/>
  <c r="C34" i="2"/>
  <c r="C33" i="2"/>
  <c r="C32" i="2"/>
  <c r="D31" i="2"/>
  <c r="D34" i="2" s="1"/>
  <c r="C30" i="2"/>
  <c r="C29" i="2"/>
  <c r="C28" i="2"/>
  <c r="D25" i="2"/>
  <c r="D23" i="2"/>
  <c r="D24" i="2" s="1"/>
  <c r="D18" i="2"/>
  <c r="C15" i="2"/>
  <c r="D14" i="2"/>
  <c r="D15" i="2" s="1"/>
  <c r="D13" i="2"/>
  <c r="D12" i="2"/>
  <c r="F11" i="2"/>
  <c r="F6" i="2"/>
  <c r="D77" i="2" s="1"/>
  <c r="C1" i="2"/>
  <c r="A1" i="2"/>
  <c r="D60" i="1"/>
  <c r="F89" i="1"/>
  <c r="F95" i="1"/>
  <c r="F97" i="1"/>
  <c r="F96" i="1"/>
  <c r="F100" i="1"/>
  <c r="D28" i="2" l="1"/>
  <c r="D32" i="2" s="1"/>
  <c r="F32" i="2" s="1"/>
  <c r="F13" i="2"/>
  <c r="F53" i="2"/>
  <c r="D61" i="2"/>
  <c r="F61" i="2" s="1"/>
  <c r="D68" i="2"/>
  <c r="F68" i="2" s="1"/>
  <c r="F65" i="2"/>
  <c r="F18" i="2"/>
  <c r="D29" i="2"/>
  <c r="D33" i="2" s="1"/>
  <c r="F33" i="2" s="1"/>
  <c r="F14" i="2"/>
  <c r="F25" i="2"/>
  <c r="F34" i="2"/>
  <c r="F38" i="2"/>
  <c r="F62" i="2"/>
  <c r="F45" i="2"/>
  <c r="F28" i="2"/>
  <c r="F36" i="2"/>
  <c r="F12" i="2"/>
  <c r="F24" i="2"/>
  <c r="F59" i="2"/>
  <c r="F71" i="2"/>
  <c r="F15" i="2"/>
  <c r="F48" i="2"/>
  <c r="F89" i="2"/>
  <c r="F77" i="2"/>
  <c r="D78" i="2"/>
  <c r="D39" i="2"/>
  <c r="F39" i="2" s="1"/>
  <c r="F47" i="2"/>
  <c r="D54" i="2"/>
  <c r="F54" i="2" s="1"/>
  <c r="D57" i="2"/>
  <c r="F58" i="2"/>
  <c r="F69" i="2"/>
  <c r="D88" i="2"/>
  <c r="F88" i="2" s="1"/>
  <c r="F23" i="2"/>
  <c r="F31" i="2"/>
  <c r="F52" i="2"/>
  <c r="F60" i="2"/>
  <c r="D12" i="1"/>
  <c r="F29" i="2" l="1"/>
  <c r="D30" i="2"/>
  <c r="F30" i="2" s="1"/>
  <c r="F72" i="2"/>
  <c r="F49" i="2"/>
  <c r="F16" i="2"/>
  <c r="F26" i="2"/>
  <c r="D56" i="2"/>
  <c r="F56" i="2" s="1"/>
  <c r="F57" i="2"/>
  <c r="D79" i="2"/>
  <c r="F78" i="2"/>
  <c r="F40" i="2" l="1"/>
  <c r="F66" i="2"/>
  <c r="F79" i="2"/>
  <c r="D80" i="2"/>
  <c r="F73" i="2" l="1"/>
  <c r="F74" i="2" s="1"/>
  <c r="F75" i="2" s="1"/>
  <c r="F80" i="2"/>
  <c r="D81" i="2"/>
  <c r="D82" i="2" l="1"/>
  <c r="F81" i="2"/>
  <c r="D83" i="2" l="1"/>
  <c r="F82" i="2"/>
  <c r="D84" i="2" l="1"/>
  <c r="F84" i="2" s="1"/>
  <c r="F83" i="2"/>
  <c r="G8" i="2" s="1"/>
  <c r="F85" i="2" l="1"/>
  <c r="F87" i="2" s="1"/>
  <c r="F106" i="2" l="1"/>
  <c r="H8" i="2" l="1"/>
  <c r="F108" i="2" l="1"/>
  <c r="K8" i="2"/>
  <c r="F109" i="2" l="1"/>
  <c r="F86" i="1"/>
  <c r="F103" i="1" l="1"/>
  <c r="F102" i="1"/>
  <c r="F101" i="1"/>
  <c r="F99" i="1"/>
  <c r="F98" i="1"/>
  <c r="F92" i="1"/>
  <c r="D69" i="1"/>
  <c r="F69" i="1" s="1"/>
  <c r="D70" i="1"/>
  <c r="F70" i="1"/>
  <c r="D71" i="1"/>
  <c r="D68" i="1" s="1"/>
  <c r="D58" i="1"/>
  <c r="D57" i="1" s="1"/>
  <c r="D52" i="1"/>
  <c r="D47" i="1"/>
  <c r="D31" i="1"/>
  <c r="D25" i="1"/>
  <c r="F25" i="1" s="1"/>
  <c r="D23" i="1"/>
  <c r="D24" i="1" s="1"/>
  <c r="F24" i="1" s="1"/>
  <c r="D18" i="1"/>
  <c r="F18" i="1" s="1"/>
  <c r="D14" i="1"/>
  <c r="F14" i="1" s="1"/>
  <c r="F11" i="1"/>
  <c r="F10" i="1"/>
  <c r="C15" i="1"/>
  <c r="D13" i="1"/>
  <c r="F13" i="1" s="1"/>
  <c r="F12" i="1"/>
  <c r="F22" i="1"/>
  <c r="F21" i="1"/>
  <c r="F20" i="1"/>
  <c r="F19" i="1"/>
  <c r="F23" i="1" l="1"/>
  <c r="F26" i="1"/>
  <c r="D15" i="1"/>
  <c r="F15" i="1" s="1"/>
  <c r="F16" i="1" s="1"/>
  <c r="F6" i="1" l="1"/>
  <c r="D88" i="1" l="1"/>
  <c r="D28" i="1"/>
  <c r="D29" i="1"/>
  <c r="F90" i="1"/>
  <c r="F91" i="1"/>
  <c r="F93" i="1"/>
  <c r="F94" i="1"/>
  <c r="F104" i="1"/>
  <c r="F105" i="1"/>
  <c r="D37" i="1"/>
  <c r="D30" i="1" l="1"/>
  <c r="I8" i="1" l="1"/>
  <c r="E84" i="1"/>
  <c r="E82" i="1"/>
  <c r="E80" i="1"/>
  <c r="E78" i="1"/>
  <c r="C64" i="1"/>
  <c r="C62" i="1"/>
  <c r="C60" i="1"/>
  <c r="C59" i="1"/>
  <c r="D59" i="1"/>
  <c r="C58" i="1"/>
  <c r="F52" i="1"/>
  <c r="F58" i="1" l="1"/>
  <c r="D61" i="1"/>
  <c r="F61" i="1" s="1"/>
  <c r="D65" i="1"/>
  <c r="F65" i="1" s="1"/>
  <c r="F64" i="1"/>
  <c r="F59" i="1"/>
  <c r="F60" i="1"/>
  <c r="D62" i="1"/>
  <c r="F62" i="1" s="1"/>
  <c r="D54" i="1"/>
  <c r="F54" i="1" s="1"/>
  <c r="D53" i="1"/>
  <c r="F53" i="1" s="1"/>
  <c r="F57" i="1" l="1"/>
  <c r="D56" i="1" l="1"/>
  <c r="F56" i="1" s="1"/>
  <c r="D77" i="1" l="1"/>
  <c r="F77" i="1" s="1"/>
  <c r="F66" i="1"/>
  <c r="F71" i="1" l="1"/>
  <c r="F68" i="1"/>
  <c r="F72" i="1" s="1"/>
  <c r="D48" i="1" l="1"/>
  <c r="F88" i="1"/>
  <c r="D39" i="1"/>
  <c r="D32" i="1"/>
  <c r="C39" i="1"/>
  <c r="C38" i="1"/>
  <c r="C37" i="1"/>
  <c r="D36" i="1"/>
  <c r="C36" i="1"/>
  <c r="F35" i="1"/>
  <c r="C35" i="1"/>
  <c r="E34" i="1"/>
  <c r="D34" i="1"/>
  <c r="C34" i="1"/>
  <c r="C33" i="1"/>
  <c r="C32" i="1"/>
  <c r="F31" i="1"/>
  <c r="C30" i="1"/>
  <c r="C29" i="1"/>
  <c r="C28" i="1"/>
  <c r="D33" i="1" l="1"/>
  <c r="F33" i="1" s="1"/>
  <c r="D78" i="1"/>
  <c r="F78" i="1" s="1"/>
  <c r="F36" i="1"/>
  <c r="F34" i="1"/>
  <c r="F32" i="1"/>
  <c r="F37" i="1"/>
  <c r="D38" i="1"/>
  <c r="F38" i="1" s="1"/>
  <c r="F39" i="1"/>
  <c r="F28" i="1"/>
  <c r="F29" i="1"/>
  <c r="F30" i="1"/>
  <c r="D79" i="1" l="1"/>
  <c r="F79" i="1" s="1"/>
  <c r="D80" i="1" l="1"/>
  <c r="F80" i="1" s="1"/>
  <c r="D81" i="1" l="1"/>
  <c r="F81" i="1" s="1"/>
  <c r="C1" i="1"/>
  <c r="D82" i="1" l="1"/>
  <c r="F82" i="1" s="1"/>
  <c r="F44" i="1"/>
  <c r="F48" i="1"/>
  <c r="D83" i="1" l="1"/>
  <c r="F83" i="1" s="1"/>
  <c r="F42" i="1"/>
  <c r="F43" i="1"/>
  <c r="D84" i="1" l="1"/>
  <c r="F84" i="1" s="1"/>
  <c r="F45" i="1"/>
  <c r="F85" i="1" l="1"/>
  <c r="F47" i="1"/>
  <c r="G8" i="1" s="1"/>
  <c r="F49" i="1" l="1"/>
  <c r="A1" i="1"/>
  <c r="F40" i="1" l="1"/>
  <c r="F73" i="1" s="1"/>
  <c r="F74" i="1" l="1"/>
  <c r="F75" i="1" s="1"/>
  <c r="F87" i="1" l="1"/>
  <c r="F106" i="1" l="1"/>
  <c r="H8" i="1" l="1"/>
  <c r="G106" i="1"/>
  <c r="F107" i="1"/>
</calcChain>
</file>

<file path=xl/sharedStrings.xml><?xml version="1.0" encoding="utf-8"?>
<sst xmlns="http://schemas.openxmlformats.org/spreadsheetml/2006/main" count="370" uniqueCount="128">
  <si>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</si>
  <si>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</si>
  <si>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</si>
  <si>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</si>
  <si>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</si>
  <si>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</si>
  <si>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</si>
  <si>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</si>
  <si>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</si>
  <si>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</si>
  <si>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</si>
  <si>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</si>
  <si>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</si>
  <si>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</si>
  <si>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</si>
  <si>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</si>
  <si>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</si>
  <si>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</si>
  <si>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</si>
  <si>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</si>
  <si>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</si>
  <si>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</si>
  <si>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</si>
  <si>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</si>
  <si>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</si>
  <si>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</si>
  <si>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 xml:space="preserve">ПОЛ </t>
  </si>
  <si>
    <t>Водоснабжение, канализация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</si>
  <si>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</si>
  <si>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</si>
  <si>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</si>
  <si>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</si>
  <si>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</si>
  <si>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</si>
  <si>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</si>
  <si>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</si>
  <si>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</si>
  <si>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</si>
  <si>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</si>
  <si>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</si>
  <si>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</si>
  <si>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</si>
  <si>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</si>
  <si>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</si>
  <si>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</si>
  <si>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</si>
  <si>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</si>
  <si>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</si>
  <si>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</si>
  <si>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</si>
  <si>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</si>
  <si>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</si>
  <si>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</si>
  <si>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</si>
  <si>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</si>
  <si>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</si>
  <si>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</si>
  <si>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%</t>
  </si>
  <si>
    <t>тн</t>
  </si>
  <si>
    <t>Раздел 11. Проектные работы</t>
  </si>
  <si>
    <t>Раздел 12. Накладные расходы</t>
  </si>
  <si>
    <t>Раздел 14. Сантехническое оборудование:</t>
  </si>
  <si>
    <t xml:space="preserve">Раздел 9. Инженерные сети </t>
  </si>
  <si>
    <t>Внутренняя высота:</t>
  </si>
  <si>
    <t xml:space="preserve">Панели ПВХ </t>
  </si>
  <si>
    <t>Подсистема под ПВХ панели</t>
  </si>
  <si>
    <t>Монтаж панелей</t>
  </si>
  <si>
    <t>Укладка линолеума</t>
  </si>
  <si>
    <t>Монтаж стального покрытия</t>
  </si>
  <si>
    <t>Металлический рифленый лист 3 мм</t>
  </si>
  <si>
    <t>Укладка кафеля на пол</t>
  </si>
  <si>
    <t>Кафель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</si>
  <si>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</si>
  <si>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</si>
  <si>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</si>
  <si>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санузлы, душевые</t>
  </si>
  <si>
    <t>Раковина + смеситель с обвязкой</t>
  </si>
  <si>
    <t>Электрическая завеса 5кВт</t>
  </si>
  <si>
    <t>Узел учёта холодной воды</t>
  </si>
  <si>
    <t xml:space="preserve">Монтаж металлоконструкций </t>
  </si>
  <si>
    <t>ТМЦ (поставка)</t>
  </si>
  <si>
    <t>Монтаж</t>
  </si>
  <si>
    <t>Проект</t>
  </si>
  <si>
    <t>фундамент и монтаж силами заказчика</t>
  </si>
  <si>
    <t>Доставка</t>
  </si>
  <si>
    <t>ООО "Тюменская модульная компания"</t>
  </si>
  <si>
    <t>МЗ Офис</t>
  </si>
  <si>
    <t>г.Тобольск.</t>
  </si>
  <si>
    <t>150/200/150</t>
  </si>
  <si>
    <t>Монтаж второго и третьего этажа здания</t>
  </si>
  <si>
    <t>Устройство цоколя (работа + материал)</t>
  </si>
  <si>
    <t>Раздел 1. Фундамент</t>
  </si>
  <si>
    <t>Разметка и вынос осей</t>
  </si>
  <si>
    <t>чел/час</t>
  </si>
  <si>
    <t>Буроям</t>
  </si>
  <si>
    <t>Монтаж свай винтовых</t>
  </si>
  <si>
    <t>Монтаж металлоконструкций обвязки оголовков свай</t>
  </si>
  <si>
    <t>т</t>
  </si>
  <si>
    <t>Металлоконструкции обвязки оголовков свай из швеллера 20П</t>
  </si>
  <si>
    <t>Модуль без 1 длинной и 1короткой стороны, 6,229х2,434м, 150/200/150</t>
  </si>
  <si>
    <t>Модуль без 2 длинных и 1короткой стороны, 6,229х2,434м, 150/200/150</t>
  </si>
  <si>
    <t>Кассета пола б=150</t>
  </si>
  <si>
    <t>Кассета потолка б=200мм</t>
  </si>
  <si>
    <t>Неучтенные работы и материалы (около 2 %)</t>
  </si>
  <si>
    <t>серверная</t>
  </si>
  <si>
    <t>Металлоконструкции крыльц 0,4тн</t>
  </si>
  <si>
    <t>Металлоконструкции эвакуационных лестниц 0,75тн</t>
  </si>
  <si>
    <t>Металлоконструкции лестниц для 2-х эт зданий 0,97тн</t>
  </si>
  <si>
    <t>Поддон душевой со смесителем</t>
  </si>
  <si>
    <t>Водонагреватель ARISTON 80 л</t>
  </si>
  <si>
    <t>Ёмкость ПВХ, 5000л</t>
  </si>
  <si>
    <t>Насосная станция Unipump Акваробот JET 80LA</t>
  </si>
  <si>
    <t>Установка обеззараживания вводы</t>
  </si>
  <si>
    <t>Септик 5 м3 с монтажём и присоединением под ключ</t>
  </si>
  <si>
    <t>Раздел 13. Аренда автокрана и др. механизмов</t>
  </si>
  <si>
    <t>Винтовые сваи диам.114мм L=3,5м.</t>
  </si>
  <si>
    <t>Электроконвектор с термостатом 1,5 кВт</t>
  </si>
  <si>
    <t xml:space="preserve">Вентиляция (материалы) </t>
  </si>
  <si>
    <t>Вентиляция (монтаж)</t>
  </si>
  <si>
    <t>Бак - аккумулятор 1000л</t>
  </si>
  <si>
    <t>Рольставни на окна</t>
  </si>
  <si>
    <t>Москитная сетка</t>
  </si>
  <si>
    <t>Кондиционер с внутренним и внешним блоком</t>
  </si>
  <si>
    <t>Дизельная электростанция АД-100 
c двигателем ЯМЗ-238М2 в контейнере с предпусковым подогревателем</t>
  </si>
  <si>
    <t>Раздел 8. Конструкции лестниц, крыльц</t>
  </si>
  <si>
    <t>санузлы, душевые, столовые</t>
  </si>
  <si>
    <t>Себестоимость всего комплекса строительства с прибылью: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</si>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</sst>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0" xfId="0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44" fontId="0" fillId="2" borderId="1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</definedNames>
    <sheetDataSet>
      <sheetData sheetId="0" refreshError="1">
        <row r="1">
          <cell r="A1" t="str">
            <v>Вахтовый городок - жилой дом на 220чел</v>
          </cell>
        </row>
      </sheetData>
      <sheetData sheetId="1" refreshError="1">
        <row r="1">
          <cell r="A1" t="str">
            <v>-</v>
          </cell>
        </row>
      </sheetData>
      <sheetData sheetId="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 refreshError="1">
        <row r="1">
          <cell r="A1" t="str">
            <v>-</v>
          </cell>
        </row>
      </sheetData>
      <sheetData sheetId="4" refreshError="1">
        <row r="1">
          <cell r="A1" t="str">
            <v>-</v>
          </cell>
        </row>
      </sheetData>
      <sheetData sheetId="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 refreshError="1">
        <row r="1">
          <cell r="A1" t="str">
            <v>-</v>
          </cell>
        </row>
      </sheetData>
      <sheetData sheetId="8" refreshError="1">
        <row r="1">
          <cell r="A1" t="str">
            <v>-</v>
          </cell>
        </row>
      </sheetData>
      <sheetData sheetId="9" refreshError="1">
        <row r="1">
          <cell r="A1" t="str">
            <v>-</v>
          </cell>
        </row>
      </sheetData>
      <sheetData sheetId="10" refreshError="1">
        <row r="1">
          <cell r="A1" t="str">
            <v>-</v>
          </cell>
        </row>
      </sheetData>
      <sheetData sheetId="1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 refreshError="1">
        <row r="1">
          <cell r="A1" t="str">
            <v>-</v>
          </cell>
        </row>
      </sheetData>
      <sheetData sheetId="14" refreshError="1">
        <row r="1">
          <cell r="B1" t="str">
            <v>-</v>
          </cell>
        </row>
      </sheetData>
      <sheetData sheetId="15" refreshError="1">
        <row r="1">
          <cell r="A1" t="str">
            <v>-</v>
          </cell>
        </row>
      </sheetData>
      <sheetData sheetId="16" refreshError="1">
        <row r="1">
          <cell r="A1" t="str">
            <v>-</v>
          </cell>
        </row>
      </sheetData>
      <sheetData sheetId="17" refreshError="1">
        <row r="1">
          <cell r="A1" t="str">
            <v>-</v>
          </cell>
        </row>
      </sheetData>
      <sheetData sheetId="18" refreshError="1">
        <row r="1">
          <cell r="A1" t="str">
            <v>-</v>
          </cell>
        </row>
      </sheetData>
      <sheetData sheetId="19" refreshError="1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Отделка'!$A$1:$C$72" sheetId="11"/>
      <definedName name="Прайс" refersTo="='Фундаменты'!$A$1:$C$56" sheetId="2"/>
    </definedNames>
    <sheetDataSet>
      <sheetData sheetId="0" refreshError="1">
        <row r="1">
          <cell r="A1" t="str">
            <v>Вахтовый городок - жилой дом на 220чел</v>
          </cell>
        </row>
      </sheetData>
      <sheetData sheetId="1" refreshError="1">
        <row r="1">
          <cell r="A1" t="str">
            <v>-</v>
          </cell>
        </row>
      </sheetData>
      <sheetData sheetId="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 refreshError="1">
        <row r="1">
          <cell r="A1" t="str">
            <v>-</v>
          </cell>
        </row>
      </sheetData>
      <sheetData sheetId="4" refreshError="1">
        <row r="1">
          <cell r="A1" t="str">
            <v>-</v>
          </cell>
        </row>
      </sheetData>
      <sheetData sheetId="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 refreshError="1">
        <row r="1">
          <cell r="A1" t="str">
            <v>-</v>
          </cell>
        </row>
      </sheetData>
      <sheetData sheetId="8" refreshError="1">
        <row r="1">
          <cell r="A1" t="str">
            <v>-</v>
          </cell>
        </row>
      </sheetData>
      <sheetData sheetId="9" refreshError="1">
        <row r="1">
          <cell r="A1" t="str">
            <v>-</v>
          </cell>
        </row>
      </sheetData>
      <sheetData sheetId="10" refreshError="1">
        <row r="1">
          <cell r="A1" t="str">
            <v>-</v>
          </cell>
        </row>
      </sheetData>
      <sheetData sheetId="1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 refreshError="1">
        <row r="1">
          <cell r="A1" t="str">
            <v>-</v>
          </cell>
        </row>
      </sheetData>
      <sheetData sheetId="14" refreshError="1">
        <row r="1">
          <cell r="B1" t="str">
            <v>-</v>
          </cell>
        </row>
      </sheetData>
      <sheetData sheetId="15" refreshError="1">
        <row r="1">
          <cell r="A1" t="str">
            <v>-</v>
          </cell>
        </row>
      </sheetData>
      <sheetData sheetId="16" refreshError="1">
        <row r="1">
          <cell r="A1" t="str">
            <v>-</v>
          </cell>
        </row>
      </sheetData>
      <sheetData sheetId="17" refreshError="1">
        <row r="1">
          <cell r="A1" t="str">
            <v>-</v>
          </cell>
        </row>
      </sheetData>
      <sheetData sheetId="18" refreshError="1">
        <row r="1">
          <cell r="A1" t="str">
            <v>-</v>
          </cell>
        </row>
      </sheetData>
      <sheetData sheetId="19" refreshError="1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 refreshError="1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 refreshError="1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 refreshError="1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="90" zoomScaleNormal="90" workbookViewId="0">
      <pane ySplit="8" topLeftCell="A89" activePane="bottomLeft" state="frozen"/>
      <selection pane="bottomLeft" activeCell="E72" sqref="E72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4.140625" style="2" customWidth="1"/>
    <col min="5" max="5" width="20.85546875" customWidth="1"/>
    <col min="6" max="6" width="24.28515625" style="2" customWidth="1"/>
    <col min="7" max="7" width="23" customWidth="1"/>
    <col min="8" max="8" width="17.140625" customWidth="1"/>
    <col min="9" max="9" width="13.5703125" customWidth="1"/>
    <col min="10" max="10" width="16.5703125" customWidth="1"/>
  </cols>
  <sheetData>
    <row r="1" spans="1:10" ht="31.5" customHeight="1" x14ac:dyDescent="0.25">
      <c r="A1" s="74" t="str">
        <f>C2</f>
        <v>МЗ Офис</v>
      </c>
      <c r="B1" s="74"/>
      <c r="C1" s="75" t="str">
        <f>C3</f>
        <v>ООО "Тюменская модульная компания"</v>
      </c>
      <c r="D1" s="75"/>
      <c r="E1" s="75"/>
      <c r="F1" s="75"/>
    </row>
    <row r="2" spans="1:10" x14ac:dyDescent="0.25">
      <c r="A2" s="41">
        <v>1</v>
      </c>
      <c r="B2" s="42" t="s">
        <v>2</v>
      </c>
      <c r="C2" s="76" t="s">
        <v>86</v>
      </c>
      <c r="D2" s="76"/>
      <c r="E2" s="76"/>
      <c r="F2" s="76"/>
    </row>
    <row r="3" spans="1:10" x14ac:dyDescent="0.25">
      <c r="A3" s="41">
        <v>2</v>
      </c>
      <c r="B3" s="42" t="s">
        <v>0</v>
      </c>
      <c r="C3" s="76" t="s">
        <v>85</v>
      </c>
      <c r="D3" s="76"/>
      <c r="E3" s="76"/>
      <c r="F3" s="76"/>
    </row>
    <row r="4" spans="1:10" ht="14.25" customHeight="1" x14ac:dyDescent="0.25">
      <c r="A4" s="41">
        <v>3</v>
      </c>
      <c r="B4" s="42" t="s">
        <v>1</v>
      </c>
      <c r="C4" s="78" t="s">
        <v>87</v>
      </c>
      <c r="D4" s="79"/>
      <c r="E4" s="79"/>
      <c r="F4" s="80"/>
    </row>
    <row r="5" spans="1:10" ht="15.75" customHeight="1" x14ac:dyDescent="0.25">
      <c r="A5" s="41">
        <v>4</v>
      </c>
      <c r="B5" s="42" t="s">
        <v>63</v>
      </c>
      <c r="C5" s="78">
        <v>2.5</v>
      </c>
      <c r="D5" s="79"/>
      <c r="E5" s="79"/>
      <c r="F5" s="80"/>
    </row>
    <row r="6" spans="1:10" ht="17.25" customHeight="1" x14ac:dyDescent="0.25">
      <c r="A6" s="41">
        <v>5</v>
      </c>
      <c r="B6" s="42" t="s">
        <v>39</v>
      </c>
      <c r="C6" s="76" t="s">
        <v>88</v>
      </c>
      <c r="D6" s="76"/>
      <c r="E6" s="45" t="s">
        <v>38</v>
      </c>
      <c r="F6" s="61">
        <f>14.458*34.27*2</f>
        <v>990.95132000000012</v>
      </c>
      <c r="G6" s="66" t="s">
        <v>80</v>
      </c>
      <c r="H6" s="66" t="s">
        <v>81</v>
      </c>
      <c r="I6" s="66" t="s">
        <v>82</v>
      </c>
      <c r="J6" s="66" t="s">
        <v>84</v>
      </c>
    </row>
    <row r="7" spans="1:10" x14ac:dyDescent="0.25">
      <c r="A7" s="41">
        <v>6</v>
      </c>
      <c r="B7" s="42" t="s">
        <v>3</v>
      </c>
      <c r="C7" s="78" t="s">
        <v>83</v>
      </c>
      <c r="D7" s="79"/>
      <c r="E7" s="79"/>
      <c r="F7" s="80"/>
    </row>
    <row r="8" spans="1:10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57">
        <f>(F11+F15+F20+F21+F28+F29+F30+F31+F36+F38+F39+F42+F43+F47+F52+F53+F57+F59+F61+F62+F65+F71)*1.02+F77+F79+F81+F83+F89</f>
        <v>8315988.4608824002</v>
      </c>
      <c r="H8" s="57">
        <f>F106-G8-I8</f>
        <v>9219795.2226806618</v>
      </c>
      <c r="I8" s="57">
        <f>F86</f>
        <v>280000</v>
      </c>
      <c r="J8">
        <v>0</v>
      </c>
    </row>
    <row r="9" spans="1:10" ht="18.75" x14ac:dyDescent="0.25">
      <c r="A9" s="41">
        <v>8</v>
      </c>
      <c r="B9" s="5" t="s">
        <v>91</v>
      </c>
      <c r="C9" s="4"/>
      <c r="D9" s="4"/>
      <c r="E9" s="4"/>
      <c r="F9" s="4"/>
      <c r="G9" s="57"/>
    </row>
    <row r="10" spans="1:10" x14ac:dyDescent="0.25">
      <c r="A10" s="41">
        <v>9</v>
      </c>
      <c r="B10" s="6" t="s">
        <v>92</v>
      </c>
      <c r="C10" s="13" t="s">
        <v>93</v>
      </c>
      <c r="D10" s="13">
        <v>80</v>
      </c>
      <c r="E10" s="10">
        <v>170</v>
      </c>
      <c r="F10" s="9">
        <f>D10*E10</f>
        <v>13600</v>
      </c>
    </row>
    <row r="11" spans="1:10" x14ac:dyDescent="0.25">
      <c r="A11" s="41">
        <v>10</v>
      </c>
      <c r="B11" s="6" t="s">
        <v>115</v>
      </c>
      <c r="C11" s="13" t="s">
        <v>12</v>
      </c>
      <c r="D11" s="13">
        <v>60</v>
      </c>
      <c r="E11" s="10">
        <v>5600</v>
      </c>
      <c r="F11" s="9">
        <f t="shared" ref="F11:F15" si="0">D11*E11</f>
        <v>336000</v>
      </c>
    </row>
    <row r="12" spans="1:10" x14ac:dyDescent="0.25">
      <c r="A12" s="41">
        <v>11</v>
      </c>
      <c r="B12" s="6" t="s">
        <v>94</v>
      </c>
      <c r="C12" s="13" t="s">
        <v>18</v>
      </c>
      <c r="D12" s="13">
        <f>0.5*D11</f>
        <v>30</v>
      </c>
      <c r="E12" s="10">
        <v>2000</v>
      </c>
      <c r="F12" s="9">
        <f t="shared" si="0"/>
        <v>60000</v>
      </c>
    </row>
    <row r="13" spans="1:10" x14ac:dyDescent="0.25">
      <c r="A13" s="41">
        <v>12</v>
      </c>
      <c r="B13" s="6" t="s">
        <v>95</v>
      </c>
      <c r="C13" s="13" t="s">
        <v>12</v>
      </c>
      <c r="D13" s="13">
        <f>D11</f>
        <v>60</v>
      </c>
      <c r="E13" s="10">
        <v>350</v>
      </c>
      <c r="F13" s="9">
        <f t="shared" si="0"/>
        <v>21000</v>
      </c>
    </row>
    <row r="14" spans="1:10" x14ac:dyDescent="0.25">
      <c r="A14" s="41">
        <v>13</v>
      </c>
      <c r="B14" s="6" t="s">
        <v>96</v>
      </c>
      <c r="C14" s="13" t="s">
        <v>97</v>
      </c>
      <c r="D14" s="54">
        <f>18.4*(34.27*2+14.458*2)/1000</f>
        <v>1.7931903999999999</v>
      </c>
      <c r="E14" s="10">
        <v>7000</v>
      </c>
      <c r="F14" s="9">
        <f t="shared" si="0"/>
        <v>12552.332799999998</v>
      </c>
    </row>
    <row r="15" spans="1:10" x14ac:dyDescent="0.25">
      <c r="A15" s="41">
        <v>14</v>
      </c>
      <c r="B15" s="6" t="s">
        <v>98</v>
      </c>
      <c r="C15" s="13" t="str">
        <f>VLOOKUP(B15,[2]Фундаменты!Прайс,2,FALSE)</f>
        <v>тн</v>
      </c>
      <c r="D15" s="54">
        <f>D14</f>
        <v>1.7931903999999999</v>
      </c>
      <c r="E15" s="10">
        <v>33500</v>
      </c>
      <c r="F15" s="9">
        <f t="shared" si="0"/>
        <v>60071.878399999994</v>
      </c>
    </row>
    <row r="16" spans="1:10" x14ac:dyDescent="0.25">
      <c r="A16" s="41">
        <v>15</v>
      </c>
      <c r="B16" s="7" t="s">
        <v>4</v>
      </c>
      <c r="C16" s="14"/>
      <c r="D16" s="14"/>
      <c r="E16" s="11"/>
      <c r="F16" s="15">
        <f>SUM(F10:F15)</f>
        <v>503224.21119999996</v>
      </c>
      <c r="G16" s="57"/>
    </row>
    <row r="17" spans="1:7" ht="18.75" x14ac:dyDescent="0.25">
      <c r="A17" s="41">
        <v>16</v>
      </c>
      <c r="B17" s="5" t="s">
        <v>21</v>
      </c>
      <c r="C17" s="4"/>
      <c r="D17" s="4"/>
      <c r="E17" s="4"/>
      <c r="F17" s="4"/>
    </row>
    <row r="18" spans="1:7" x14ac:dyDescent="0.25">
      <c r="A18" s="41">
        <v>17</v>
      </c>
      <c r="B18" s="6" t="s">
        <v>42</v>
      </c>
      <c r="C18" s="13" t="s">
        <v>44</v>
      </c>
      <c r="D18" s="13">
        <f>D19+D20</f>
        <v>56</v>
      </c>
      <c r="E18" s="10">
        <v>2000</v>
      </c>
      <c r="F18" s="9">
        <f>D18*E18</f>
        <v>112000</v>
      </c>
    </row>
    <row r="19" spans="1:7" x14ac:dyDescent="0.25">
      <c r="A19" s="41">
        <v>18</v>
      </c>
      <c r="B19" s="6" t="s">
        <v>43</v>
      </c>
      <c r="C19" s="13" t="s">
        <v>44</v>
      </c>
      <c r="D19" s="13">
        <v>28</v>
      </c>
      <c r="E19" s="10">
        <v>2000</v>
      </c>
      <c r="F19" s="9">
        <f>D19*E19</f>
        <v>56000</v>
      </c>
    </row>
    <row r="20" spans="1:7" x14ac:dyDescent="0.25">
      <c r="A20" s="41">
        <v>19</v>
      </c>
      <c r="B20" s="6" t="s">
        <v>89</v>
      </c>
      <c r="C20" s="13" t="s">
        <v>44</v>
      </c>
      <c r="D20" s="13">
        <v>28</v>
      </c>
      <c r="E20" s="10">
        <v>3000</v>
      </c>
      <c r="F20" s="9">
        <f t="shared" ref="F20" si="1">D20*E20</f>
        <v>84000</v>
      </c>
    </row>
    <row r="21" spans="1:7" ht="30" x14ac:dyDescent="0.25">
      <c r="A21" s="41">
        <v>20</v>
      </c>
      <c r="B21" s="6" t="s">
        <v>99</v>
      </c>
      <c r="C21" s="13" t="s">
        <v>44</v>
      </c>
      <c r="D21" s="13">
        <v>8</v>
      </c>
      <c r="E21" s="10">
        <v>129525</v>
      </c>
      <c r="F21" s="9">
        <f>D21*E21</f>
        <v>1036200</v>
      </c>
    </row>
    <row r="22" spans="1:7" s="67" customFormat="1" ht="30" x14ac:dyDescent="0.25">
      <c r="A22" s="41">
        <v>21</v>
      </c>
      <c r="B22" s="6" t="s">
        <v>100</v>
      </c>
      <c r="C22" s="13" t="s">
        <v>44</v>
      </c>
      <c r="D22" s="13">
        <v>48</v>
      </c>
      <c r="E22" s="10">
        <v>115133</v>
      </c>
      <c r="F22" s="9">
        <f t="shared" ref="F22:F25" si="2">D22*E22</f>
        <v>5526384</v>
      </c>
    </row>
    <row r="23" spans="1:7" s="67" customFormat="1" x14ac:dyDescent="0.25">
      <c r="A23" s="41">
        <v>22</v>
      </c>
      <c r="B23" s="6" t="s">
        <v>101</v>
      </c>
      <c r="C23" s="13" t="s">
        <v>11</v>
      </c>
      <c r="D23" s="55">
        <f>34*2</f>
        <v>68</v>
      </c>
      <c r="E23" s="10">
        <v>2950</v>
      </c>
      <c r="F23" s="9">
        <f t="shared" si="2"/>
        <v>200600</v>
      </c>
    </row>
    <row r="24" spans="1:7" s="67" customFormat="1" x14ac:dyDescent="0.25">
      <c r="A24" s="41">
        <v>23</v>
      </c>
      <c r="B24" s="6" t="s">
        <v>102</v>
      </c>
      <c r="C24" s="13" t="s">
        <v>11</v>
      </c>
      <c r="D24" s="55">
        <f>D23</f>
        <v>68</v>
      </c>
      <c r="E24" s="10">
        <v>3150</v>
      </c>
      <c r="F24" s="9">
        <f t="shared" si="2"/>
        <v>214200</v>
      </c>
    </row>
    <row r="25" spans="1:7" s="67" customFormat="1" x14ac:dyDescent="0.25">
      <c r="A25" s="41">
        <v>24</v>
      </c>
      <c r="B25" s="6" t="s">
        <v>90</v>
      </c>
      <c r="C25" s="13" t="s">
        <v>11</v>
      </c>
      <c r="D25" s="55">
        <f>(34.27*2+14.458*2)*0.7</f>
        <v>68.219200000000001</v>
      </c>
      <c r="E25" s="10">
        <v>600</v>
      </c>
      <c r="F25" s="9">
        <f t="shared" si="2"/>
        <v>40931.520000000004</v>
      </c>
    </row>
    <row r="26" spans="1:7" x14ac:dyDescent="0.25">
      <c r="A26" s="41">
        <v>25</v>
      </c>
      <c r="B26" s="7" t="s">
        <v>4</v>
      </c>
      <c r="C26" s="14"/>
      <c r="D26" s="14"/>
      <c r="E26" s="11"/>
      <c r="F26" s="15">
        <f>SUM(F18:F25)</f>
        <v>7270315.5199999996</v>
      </c>
      <c r="G26" s="57"/>
    </row>
    <row r="27" spans="1:7" ht="15.75" x14ac:dyDescent="0.25">
      <c r="A27" s="41">
        <v>26</v>
      </c>
      <c r="B27" s="5" t="s">
        <v>22</v>
      </c>
      <c r="C27" s="12"/>
      <c r="D27" s="12"/>
      <c r="E27" s="8"/>
      <c r="F27" s="9"/>
    </row>
    <row r="28" spans="1:7" x14ac:dyDescent="0.25">
      <c r="A28" s="41">
        <v>27</v>
      </c>
      <c r="B28" s="6" t="s">
        <v>45</v>
      </c>
      <c r="C28" s="13" t="str">
        <f>VLOOKUP(B28,[3]Кровля!Прайс,2,FALSE)</f>
        <v>тн</v>
      </c>
      <c r="D28" s="55">
        <f>0.015*F6/2</f>
        <v>7.4321349000000003</v>
      </c>
      <c r="E28" s="10">
        <v>42000</v>
      </c>
      <c r="F28" s="9">
        <f>D28*E28</f>
        <v>312149.66580000002</v>
      </c>
    </row>
    <row r="29" spans="1:7" x14ac:dyDescent="0.25">
      <c r="A29" s="41">
        <v>28</v>
      </c>
      <c r="B29" s="6" t="s">
        <v>36</v>
      </c>
      <c r="C29" s="13" t="str">
        <f>VLOOKUP(B29,[3]Кровля!Прайс,2,FALSE)</f>
        <v>м2</v>
      </c>
      <c r="D29" s="55">
        <f>1.2*F6/2</f>
        <v>594.5707920000001</v>
      </c>
      <c r="E29" s="10">
        <v>370</v>
      </c>
      <c r="F29" s="9">
        <f t="shared" ref="F29:F39" si="3">D29*E29</f>
        <v>219991.19304000004</v>
      </c>
    </row>
    <row r="30" spans="1:7" x14ac:dyDescent="0.25">
      <c r="A30" s="41">
        <v>29</v>
      </c>
      <c r="B30" s="6" t="s">
        <v>46</v>
      </c>
      <c r="C30" s="13" t="str">
        <f>VLOOKUP(B30,[3]Кровля!Прайс,2,FALSE)</f>
        <v>м3</v>
      </c>
      <c r="D30" s="55">
        <f>D29*0.04/4</f>
        <v>5.9457079200000011</v>
      </c>
      <c r="E30" s="10">
        <v>6500</v>
      </c>
      <c r="F30" s="9">
        <f t="shared" si="3"/>
        <v>38647.101480000005</v>
      </c>
    </row>
    <row r="31" spans="1:7" x14ac:dyDescent="0.25">
      <c r="A31" s="41">
        <v>30</v>
      </c>
      <c r="B31" s="6" t="s">
        <v>47</v>
      </c>
      <c r="C31" s="13" t="s">
        <v>48</v>
      </c>
      <c r="D31" s="55">
        <f>34.5*2+8*5</f>
        <v>109</v>
      </c>
      <c r="E31" s="10">
        <v>650</v>
      </c>
      <c r="F31" s="9">
        <f t="shared" si="3"/>
        <v>70850</v>
      </c>
    </row>
    <row r="32" spans="1:7" x14ac:dyDescent="0.25">
      <c r="A32" s="41">
        <v>31</v>
      </c>
      <c r="B32" s="6" t="s">
        <v>49</v>
      </c>
      <c r="C32" s="13" t="str">
        <f>VLOOKUP(B32,[3]Кровля!Прайс,2,FALSE)</f>
        <v>тн</v>
      </c>
      <c r="D32" s="55">
        <f>D28</f>
        <v>7.4321349000000003</v>
      </c>
      <c r="E32" s="10">
        <v>7000</v>
      </c>
      <c r="F32" s="9">
        <f t="shared" si="3"/>
        <v>52024.944300000003</v>
      </c>
    </row>
    <row r="33" spans="1:7" x14ac:dyDescent="0.25">
      <c r="A33" s="41">
        <v>32</v>
      </c>
      <c r="B33" s="6" t="s">
        <v>50</v>
      </c>
      <c r="C33" s="13" t="str">
        <f>VLOOKUP(B33,[3]Кровля!Прайс,2,FALSE)</f>
        <v>м2</v>
      </c>
      <c r="D33" s="55">
        <f>D29</f>
        <v>594.5707920000001</v>
      </c>
      <c r="E33" s="10">
        <v>250</v>
      </c>
      <c r="F33" s="9">
        <f t="shared" si="3"/>
        <v>148642.69800000003</v>
      </c>
    </row>
    <row r="34" spans="1:7" x14ac:dyDescent="0.25">
      <c r="A34" s="41">
        <v>33</v>
      </c>
      <c r="B34" s="6" t="s">
        <v>51</v>
      </c>
      <c r="C34" s="13" t="str">
        <f>VLOOKUP(B34,[3]Кровля!Прайс,2,FALSE)</f>
        <v>м</v>
      </c>
      <c r="D34" s="55">
        <f>D31</f>
        <v>109</v>
      </c>
      <c r="E34" s="10">
        <f>E31*40%</f>
        <v>260</v>
      </c>
      <c r="F34" s="9">
        <f t="shared" si="3"/>
        <v>28340</v>
      </c>
    </row>
    <row r="35" spans="1:7" x14ac:dyDescent="0.25">
      <c r="A35" s="41">
        <v>34</v>
      </c>
      <c r="B35" s="6" t="s">
        <v>52</v>
      </c>
      <c r="C35" s="13" t="str">
        <f>VLOOKUP(B35,[1]Кровля!Прайс,2,FALSE)</f>
        <v>шт</v>
      </c>
      <c r="D35" s="55">
        <v>8</v>
      </c>
      <c r="E35" s="10">
        <v>250</v>
      </c>
      <c r="F35" s="9">
        <f t="shared" si="3"/>
        <v>2000</v>
      </c>
    </row>
    <row r="36" spans="1:7" x14ac:dyDescent="0.25">
      <c r="A36" s="41">
        <v>35</v>
      </c>
      <c r="B36" s="6" t="s">
        <v>53</v>
      </c>
      <c r="C36" s="13" t="str">
        <f>VLOOKUP(B36,[1]Кровля!Прайс,2,FALSE)</f>
        <v>шт</v>
      </c>
      <c r="D36" s="55">
        <f>D35</f>
        <v>8</v>
      </c>
      <c r="E36" s="10">
        <v>360</v>
      </c>
      <c r="F36" s="9">
        <f t="shared" si="3"/>
        <v>2880</v>
      </c>
    </row>
    <row r="37" spans="1:7" x14ac:dyDescent="0.25">
      <c r="A37" s="41">
        <v>36</v>
      </c>
      <c r="B37" s="6" t="s">
        <v>54</v>
      </c>
      <c r="C37" s="13" t="str">
        <f>VLOOKUP(B37,[1]Кровля!Прайс,2,FALSE)</f>
        <v>м2</v>
      </c>
      <c r="D37" s="55">
        <f>17.5*2*0.8</f>
        <v>28</v>
      </c>
      <c r="E37" s="10">
        <v>180</v>
      </c>
      <c r="F37" s="9">
        <f t="shared" si="3"/>
        <v>5040</v>
      </c>
    </row>
    <row r="38" spans="1:7" x14ac:dyDescent="0.25">
      <c r="A38" s="41">
        <v>37</v>
      </c>
      <c r="B38" s="6" t="s">
        <v>55</v>
      </c>
      <c r="C38" s="13" t="str">
        <f>VLOOKUP(B38,[1]Кровля!Прайс,2,FALSE)</f>
        <v>м2</v>
      </c>
      <c r="D38" s="55">
        <f>D37</f>
        <v>28</v>
      </c>
      <c r="E38" s="10">
        <v>353</v>
      </c>
      <c r="F38" s="9">
        <f t="shared" si="3"/>
        <v>9884</v>
      </c>
    </row>
    <row r="39" spans="1:7" x14ac:dyDescent="0.25">
      <c r="A39" s="41">
        <v>38</v>
      </c>
      <c r="B39" s="6" t="s">
        <v>56</v>
      </c>
      <c r="C39" s="13" t="str">
        <f>VLOOKUP(B39,[1]Кровля!Прайс,2,FALSE)</f>
        <v>компл</v>
      </c>
      <c r="D39" s="55">
        <f>D29</f>
        <v>594.5707920000001</v>
      </c>
      <c r="E39" s="10">
        <v>75</v>
      </c>
      <c r="F39" s="9">
        <f t="shared" si="3"/>
        <v>44592.809400000006</v>
      </c>
    </row>
    <row r="40" spans="1:7" x14ac:dyDescent="0.25">
      <c r="A40" s="41">
        <v>39</v>
      </c>
      <c r="B40" s="7" t="s">
        <v>4</v>
      </c>
      <c r="C40" s="14"/>
      <c r="D40" s="14"/>
      <c r="E40" s="11"/>
      <c r="F40" s="15">
        <f>SUM(F28:F39)</f>
        <v>935042.41202000005</v>
      </c>
      <c r="G40" s="57"/>
    </row>
    <row r="41" spans="1:7" ht="21.75" customHeight="1" x14ac:dyDescent="0.25">
      <c r="A41" s="41">
        <v>40</v>
      </c>
      <c r="B41" s="5" t="s">
        <v>29</v>
      </c>
      <c r="C41" s="12"/>
      <c r="D41" s="12"/>
      <c r="E41" s="8"/>
      <c r="F41" s="9"/>
    </row>
    <row r="42" spans="1:7" x14ac:dyDescent="0.25">
      <c r="A42" s="41">
        <v>41</v>
      </c>
      <c r="B42" s="6" t="s">
        <v>15</v>
      </c>
      <c r="C42" s="13" t="s">
        <v>12</v>
      </c>
      <c r="D42" s="13">
        <v>39</v>
      </c>
      <c r="E42" s="10">
        <v>5000</v>
      </c>
      <c r="F42" s="9">
        <f t="shared" ref="F42:F44" si="4">D42*E42</f>
        <v>195000</v>
      </c>
    </row>
    <row r="43" spans="1:7" x14ac:dyDescent="0.25">
      <c r="A43" s="41">
        <v>42</v>
      </c>
      <c r="B43" s="6" t="s">
        <v>16</v>
      </c>
      <c r="C43" s="13" t="s">
        <v>12</v>
      </c>
      <c r="D43" s="13">
        <v>4</v>
      </c>
      <c r="E43" s="10">
        <v>18000</v>
      </c>
      <c r="F43" s="9">
        <f t="shared" si="4"/>
        <v>72000</v>
      </c>
    </row>
    <row r="44" spans="1:7" x14ac:dyDescent="0.25">
      <c r="A44" s="41">
        <v>43</v>
      </c>
      <c r="B44" s="6" t="s">
        <v>25</v>
      </c>
      <c r="C44" s="13" t="s">
        <v>12</v>
      </c>
      <c r="D44" s="13">
        <v>43</v>
      </c>
      <c r="E44" s="10">
        <v>1000</v>
      </c>
      <c r="F44" s="9">
        <f t="shared" si="4"/>
        <v>43000</v>
      </c>
    </row>
    <row r="45" spans="1:7" x14ac:dyDescent="0.25">
      <c r="A45" s="41">
        <v>44</v>
      </c>
      <c r="B45" s="7" t="s">
        <v>4</v>
      </c>
      <c r="C45" s="14"/>
      <c r="D45" s="14"/>
      <c r="E45" s="11"/>
      <c r="F45" s="15">
        <f>SUM(F42:F44)</f>
        <v>310000</v>
      </c>
    </row>
    <row r="46" spans="1:7" ht="15.75" x14ac:dyDescent="0.25">
      <c r="A46" s="41">
        <v>45</v>
      </c>
      <c r="B46" s="5" t="s">
        <v>23</v>
      </c>
      <c r="C46" s="12"/>
      <c r="D46" s="12"/>
      <c r="E46" s="8"/>
      <c r="F46" s="9"/>
    </row>
    <row r="47" spans="1:7" x14ac:dyDescent="0.25">
      <c r="A47" s="41">
        <v>46</v>
      </c>
      <c r="B47" s="6" t="s">
        <v>14</v>
      </c>
      <c r="C47" s="13" t="s">
        <v>11</v>
      </c>
      <c r="D47" s="13">
        <f>(6*28+34*4+2.35*6+1.1+3.5)*C5</f>
        <v>806.75000000000011</v>
      </c>
      <c r="E47" s="10">
        <v>1100</v>
      </c>
      <c r="F47" s="9">
        <f>D47*E47</f>
        <v>887425.00000000012</v>
      </c>
    </row>
    <row r="48" spans="1:7" x14ac:dyDescent="0.25">
      <c r="A48" s="41">
        <v>47</v>
      </c>
      <c r="B48" s="6" t="s">
        <v>17</v>
      </c>
      <c r="C48" s="13" t="s">
        <v>11</v>
      </c>
      <c r="D48" s="13">
        <f>D47</f>
        <v>806.75000000000011</v>
      </c>
      <c r="E48" s="10">
        <v>120</v>
      </c>
      <c r="F48" s="9">
        <f>D48*E48</f>
        <v>96810.000000000015</v>
      </c>
    </row>
    <row r="49" spans="1:7" x14ac:dyDescent="0.25">
      <c r="A49" s="41">
        <v>48</v>
      </c>
      <c r="B49" s="7" t="s">
        <v>4</v>
      </c>
      <c r="C49" s="14"/>
      <c r="D49" s="14"/>
      <c r="E49" s="11"/>
      <c r="F49" s="15">
        <f>SUM(F47:F48)</f>
        <v>984235.00000000012</v>
      </c>
    </row>
    <row r="50" spans="1:7" ht="15.75" x14ac:dyDescent="0.25">
      <c r="A50" s="41">
        <v>49</v>
      </c>
      <c r="B50" s="5" t="s">
        <v>31</v>
      </c>
      <c r="C50" s="12"/>
      <c r="D50" s="12"/>
      <c r="E50" s="8"/>
      <c r="F50" s="9"/>
    </row>
    <row r="51" spans="1:7" x14ac:dyDescent="0.25">
      <c r="A51" s="41">
        <v>50</v>
      </c>
      <c r="B51" s="19" t="s">
        <v>28</v>
      </c>
      <c r="C51" s="13"/>
      <c r="D51" s="13"/>
      <c r="E51" s="10"/>
      <c r="F51" s="9"/>
    </row>
    <row r="52" spans="1:7" x14ac:dyDescent="0.25">
      <c r="A52" s="41">
        <v>51</v>
      </c>
      <c r="B52" s="6" t="s">
        <v>64</v>
      </c>
      <c r="C52" s="13" t="s">
        <v>11</v>
      </c>
      <c r="D52" s="13">
        <f>(6*8+2.35*14)*C5</f>
        <v>202.25</v>
      </c>
      <c r="E52" s="10">
        <v>180</v>
      </c>
      <c r="F52" s="9">
        <f t="shared" ref="F52:F54" si="5">D52*E52</f>
        <v>36405</v>
      </c>
      <c r="G52" t="s">
        <v>75</v>
      </c>
    </row>
    <row r="53" spans="1:7" x14ac:dyDescent="0.25">
      <c r="A53" s="41">
        <v>52</v>
      </c>
      <c r="B53" s="6" t="s">
        <v>65</v>
      </c>
      <c r="C53" s="13" t="s">
        <v>11</v>
      </c>
      <c r="D53" s="13">
        <f>D52</f>
        <v>202.25</v>
      </c>
      <c r="E53" s="10">
        <v>95</v>
      </c>
      <c r="F53" s="9">
        <f t="shared" si="5"/>
        <v>19213.75</v>
      </c>
    </row>
    <row r="54" spans="1:7" x14ac:dyDescent="0.25">
      <c r="A54" s="41">
        <v>53</v>
      </c>
      <c r="B54" s="6" t="s">
        <v>66</v>
      </c>
      <c r="C54" s="13" t="s">
        <v>11</v>
      </c>
      <c r="D54" s="13">
        <f>D52</f>
        <v>202.25</v>
      </c>
      <c r="E54" s="10">
        <v>150</v>
      </c>
      <c r="F54" s="9">
        <f t="shared" si="5"/>
        <v>30337.5</v>
      </c>
    </row>
    <row r="55" spans="1:7" x14ac:dyDescent="0.25">
      <c r="A55" s="41">
        <v>54</v>
      </c>
      <c r="B55" s="19" t="s">
        <v>26</v>
      </c>
      <c r="C55" s="13"/>
      <c r="D55" s="13"/>
      <c r="E55" s="10"/>
      <c r="F55" s="9"/>
    </row>
    <row r="56" spans="1:7" x14ac:dyDescent="0.25">
      <c r="A56" s="41">
        <v>55</v>
      </c>
      <c r="B56" s="6" t="s">
        <v>67</v>
      </c>
      <c r="C56" s="13" t="s">
        <v>11</v>
      </c>
      <c r="D56" s="13">
        <f>D57</f>
        <v>764.6</v>
      </c>
      <c r="E56" s="10">
        <v>100</v>
      </c>
      <c r="F56" s="9">
        <f>D56*E56</f>
        <v>76460</v>
      </c>
    </row>
    <row r="57" spans="1:7" x14ac:dyDescent="0.25">
      <c r="A57" s="41">
        <v>56</v>
      </c>
      <c r="B57" s="6" t="s">
        <v>37</v>
      </c>
      <c r="C57" s="13" t="s">
        <v>11</v>
      </c>
      <c r="D57" s="13">
        <f>14*56+34*2*2-D58-D60</f>
        <v>764.6</v>
      </c>
      <c r="E57" s="10">
        <v>350</v>
      </c>
      <c r="F57" s="9">
        <f>D57*E57</f>
        <v>267610</v>
      </c>
    </row>
    <row r="58" spans="1:7" x14ac:dyDescent="0.25">
      <c r="A58" s="41">
        <v>57</v>
      </c>
      <c r="B58" s="6" t="s">
        <v>68</v>
      </c>
      <c r="C58" s="13" t="str">
        <f>VLOOKUP(B58,[2]Отделка!Прайс,2,FALSE)</f>
        <v>м2</v>
      </c>
      <c r="D58" s="13">
        <f>14</f>
        <v>14</v>
      </c>
      <c r="E58" s="10">
        <v>360</v>
      </c>
      <c r="F58" s="9">
        <f t="shared" ref="F58:F62" si="6">D58*E58</f>
        <v>5040</v>
      </c>
      <c r="G58" t="s">
        <v>104</v>
      </c>
    </row>
    <row r="59" spans="1:7" x14ac:dyDescent="0.25">
      <c r="A59" s="41">
        <v>58</v>
      </c>
      <c r="B59" s="6" t="s">
        <v>69</v>
      </c>
      <c r="C59" s="13" t="str">
        <f>VLOOKUP(B59,[2]Отделка!Прайс,2,FALSE)</f>
        <v>м2</v>
      </c>
      <c r="D59" s="13">
        <f>D58</f>
        <v>14</v>
      </c>
      <c r="E59" s="10">
        <v>635.85</v>
      </c>
      <c r="F59" s="9">
        <f t="shared" si="6"/>
        <v>8901.9</v>
      </c>
    </row>
    <row r="60" spans="1:7" x14ac:dyDescent="0.25">
      <c r="A60" s="41">
        <v>59</v>
      </c>
      <c r="B60" s="6" t="s">
        <v>70</v>
      </c>
      <c r="C60" s="13" t="str">
        <f>VLOOKUP(B60,[2]Отделка!Прайс,2,FALSE)</f>
        <v>м2</v>
      </c>
      <c r="D60" s="13">
        <f>14*6+28.7*2</f>
        <v>141.4</v>
      </c>
      <c r="E60" s="10">
        <v>450</v>
      </c>
      <c r="F60" s="9">
        <f t="shared" si="6"/>
        <v>63630</v>
      </c>
      <c r="G60" t="s">
        <v>125</v>
      </c>
    </row>
    <row r="61" spans="1:7" x14ac:dyDescent="0.25">
      <c r="A61" s="41">
        <v>60</v>
      </c>
      <c r="B61" s="6" t="s">
        <v>71</v>
      </c>
      <c r="C61" s="13" t="s">
        <v>11</v>
      </c>
      <c r="D61" s="13">
        <f>D60</f>
        <v>141.4</v>
      </c>
      <c r="E61" s="10">
        <v>599</v>
      </c>
      <c r="F61" s="9">
        <f t="shared" si="6"/>
        <v>84698.6</v>
      </c>
    </row>
    <row r="62" spans="1:7" x14ac:dyDescent="0.25">
      <c r="A62" s="41">
        <v>61</v>
      </c>
      <c r="B62" s="6" t="s">
        <v>72</v>
      </c>
      <c r="C62" s="13" t="str">
        <f>VLOOKUP(B62,[2]Отделка!Прайс,2,FALSE)</f>
        <v>кг</v>
      </c>
      <c r="D62" s="13">
        <f>D60*5</f>
        <v>707</v>
      </c>
      <c r="E62" s="10">
        <v>11.7</v>
      </c>
      <c r="F62" s="9">
        <f t="shared" si="6"/>
        <v>8271.9</v>
      </c>
    </row>
    <row r="63" spans="1:7" ht="15.75" x14ac:dyDescent="0.25">
      <c r="A63" s="41">
        <v>62</v>
      </c>
      <c r="B63" s="19" t="s">
        <v>30</v>
      </c>
      <c r="C63" s="12"/>
      <c r="D63" s="12"/>
      <c r="E63" s="8"/>
      <c r="F63" s="9"/>
    </row>
    <row r="64" spans="1:7" ht="18" customHeight="1" x14ac:dyDescent="0.25">
      <c r="A64" s="41">
        <v>63</v>
      </c>
      <c r="B64" s="6" t="s">
        <v>73</v>
      </c>
      <c r="C64" s="13" t="str">
        <f>VLOOKUP(B64,[2]Отделка!Прайс,2,FALSE)</f>
        <v>м2</v>
      </c>
      <c r="D64" s="13">
        <v>56</v>
      </c>
      <c r="E64" s="10">
        <v>180</v>
      </c>
      <c r="F64" s="9">
        <f t="shared" ref="F64:F65" si="7">D64*E64</f>
        <v>10080</v>
      </c>
      <c r="G64" t="s">
        <v>75</v>
      </c>
    </row>
    <row r="65" spans="1:6" ht="28.5" customHeight="1" x14ac:dyDescent="0.25">
      <c r="A65" s="41">
        <v>64</v>
      </c>
      <c r="B65" s="6" t="s">
        <v>74</v>
      </c>
      <c r="C65" s="13" t="s">
        <v>11</v>
      </c>
      <c r="D65" s="13">
        <f>D64</f>
        <v>56</v>
      </c>
      <c r="E65" s="10">
        <v>275</v>
      </c>
      <c r="F65" s="9">
        <f t="shared" si="7"/>
        <v>15400</v>
      </c>
    </row>
    <row r="66" spans="1:6" x14ac:dyDescent="0.25">
      <c r="A66" s="41">
        <v>65</v>
      </c>
      <c r="B66" s="7" t="s">
        <v>4</v>
      </c>
      <c r="C66" s="14"/>
      <c r="D66" s="14"/>
      <c r="E66" s="11"/>
      <c r="F66" s="15">
        <f>SUM(F51:F65)</f>
        <v>626048.65</v>
      </c>
    </row>
    <row r="67" spans="1:6" ht="15.75" x14ac:dyDescent="0.25">
      <c r="A67" s="41">
        <v>66</v>
      </c>
      <c r="B67" s="5" t="s">
        <v>124</v>
      </c>
      <c r="C67" s="58"/>
      <c r="D67" s="58"/>
      <c r="E67" s="59"/>
      <c r="F67" s="60"/>
    </row>
    <row r="68" spans="1:6" x14ac:dyDescent="0.25">
      <c r="A68" s="41">
        <v>67</v>
      </c>
      <c r="B68" s="6" t="s">
        <v>79</v>
      </c>
      <c r="C68" s="13" t="s">
        <v>58</v>
      </c>
      <c r="D68" s="13">
        <f>D69+D70+D71</f>
        <v>4.24</v>
      </c>
      <c r="E68" s="10">
        <v>11000</v>
      </c>
      <c r="F68" s="9">
        <f t="shared" ref="F68" si="8">D68*E68</f>
        <v>46640</v>
      </c>
    </row>
    <row r="69" spans="1:6" s="67" customFormat="1" x14ac:dyDescent="0.25">
      <c r="A69" s="41">
        <v>68</v>
      </c>
      <c r="B69" s="6" t="s">
        <v>107</v>
      </c>
      <c r="C69" s="13" t="s">
        <v>58</v>
      </c>
      <c r="D69" s="13">
        <f>0.97*2</f>
        <v>1.94</v>
      </c>
      <c r="E69" s="10">
        <v>50000</v>
      </c>
      <c r="F69" s="9">
        <f>D69*E69</f>
        <v>97000</v>
      </c>
    </row>
    <row r="70" spans="1:6" s="67" customFormat="1" x14ac:dyDescent="0.25">
      <c r="A70" s="41">
        <v>69</v>
      </c>
      <c r="B70" s="6" t="s">
        <v>106</v>
      </c>
      <c r="C70" s="13" t="s">
        <v>58</v>
      </c>
      <c r="D70" s="13">
        <f>0.75*2</f>
        <v>1.5</v>
      </c>
      <c r="E70" s="10">
        <v>50000</v>
      </c>
      <c r="F70" s="9">
        <f>D70*E70</f>
        <v>75000</v>
      </c>
    </row>
    <row r="71" spans="1:6" x14ac:dyDescent="0.25">
      <c r="A71" s="41">
        <v>70</v>
      </c>
      <c r="B71" s="6" t="s">
        <v>105</v>
      </c>
      <c r="C71" s="13" t="s">
        <v>58</v>
      </c>
      <c r="D71" s="13">
        <f>0.4*2</f>
        <v>0.8</v>
      </c>
      <c r="E71" s="10">
        <v>50000</v>
      </c>
      <c r="F71" s="9">
        <f>D71*E71</f>
        <v>40000</v>
      </c>
    </row>
    <row r="72" spans="1:6" x14ac:dyDescent="0.25">
      <c r="A72" s="41">
        <v>71</v>
      </c>
      <c r="B72" s="7" t="s">
        <v>4</v>
      </c>
      <c r="C72" s="13"/>
      <c r="D72" s="14"/>
      <c r="E72" s="11"/>
      <c r="F72" s="15">
        <f>SUM(F68:F71)</f>
        <v>258640</v>
      </c>
    </row>
    <row r="73" spans="1:6" ht="15.75" x14ac:dyDescent="0.25">
      <c r="A73" s="41">
        <v>72</v>
      </c>
      <c r="B73" s="25" t="s">
        <v>13</v>
      </c>
      <c r="C73" s="26"/>
      <c r="D73" s="26"/>
      <c r="E73" s="27"/>
      <c r="F73" s="28">
        <f>SUM(F10:F72)/2</f>
        <v>10887505.793219998</v>
      </c>
    </row>
    <row r="74" spans="1:6" ht="15.75" x14ac:dyDescent="0.25">
      <c r="A74" s="41">
        <v>73</v>
      </c>
      <c r="B74" s="29" t="s">
        <v>103</v>
      </c>
      <c r="C74" s="56" t="s">
        <v>57</v>
      </c>
      <c r="D74" s="56">
        <v>2</v>
      </c>
      <c r="E74" s="30"/>
      <c r="F74" s="31">
        <f>F73*D74%</f>
        <v>217750.11586439997</v>
      </c>
    </row>
    <row r="75" spans="1:6" ht="21" x14ac:dyDescent="0.35">
      <c r="A75" s="41">
        <v>74</v>
      </c>
      <c r="B75" s="32" t="s">
        <v>19</v>
      </c>
      <c r="C75" s="33"/>
      <c r="D75" s="33"/>
      <c r="E75" s="34"/>
      <c r="F75" s="35">
        <f>F73+F74</f>
        <v>11105255.909084398</v>
      </c>
    </row>
    <row r="76" spans="1:6" ht="15.75" x14ac:dyDescent="0.25">
      <c r="A76" s="41">
        <v>75</v>
      </c>
      <c r="B76" s="21" t="s">
        <v>62</v>
      </c>
      <c r="C76" s="12"/>
      <c r="D76" s="12"/>
      <c r="E76" s="8"/>
      <c r="F76" s="9"/>
    </row>
    <row r="77" spans="1:6" ht="15.75" x14ac:dyDescent="0.25">
      <c r="A77" s="41">
        <v>76</v>
      </c>
      <c r="B77" s="20" t="s">
        <v>32</v>
      </c>
      <c r="C77" s="13" t="s">
        <v>11</v>
      </c>
      <c r="D77" s="62">
        <f>F6</f>
        <v>990.95132000000012</v>
      </c>
      <c r="E77" s="10">
        <v>450</v>
      </c>
      <c r="F77" s="9">
        <f t="shared" ref="F77:F84" si="9">D77*E77</f>
        <v>445928.09400000004</v>
      </c>
    </row>
    <row r="78" spans="1:6" ht="15.75" x14ac:dyDescent="0.25">
      <c r="A78" s="41">
        <v>77</v>
      </c>
      <c r="B78" s="20" t="s">
        <v>20</v>
      </c>
      <c r="C78" s="13" t="s">
        <v>11</v>
      </c>
      <c r="D78" s="62">
        <f>D77</f>
        <v>990.95132000000012</v>
      </c>
      <c r="E78" s="10">
        <f>E77*50%</f>
        <v>225</v>
      </c>
      <c r="F78" s="9">
        <f t="shared" si="9"/>
        <v>222964.04700000002</v>
      </c>
    </row>
    <row r="79" spans="1:6" ht="15" customHeight="1" x14ac:dyDescent="0.25">
      <c r="A79" s="41">
        <v>78</v>
      </c>
      <c r="B79" s="24" t="s">
        <v>40</v>
      </c>
      <c r="C79" s="13" t="s">
        <v>11</v>
      </c>
      <c r="D79" s="62">
        <f t="shared" ref="D79:D84" si="10">D78</f>
        <v>990.95132000000012</v>
      </c>
      <c r="E79" s="10">
        <v>150</v>
      </c>
      <c r="F79" s="9">
        <f t="shared" si="9"/>
        <v>148642.69800000003</v>
      </c>
    </row>
    <row r="80" spans="1:6" ht="15.75" x14ac:dyDescent="0.25">
      <c r="A80" s="41">
        <v>79</v>
      </c>
      <c r="B80" s="24" t="s">
        <v>27</v>
      </c>
      <c r="C80" s="13" t="s">
        <v>11</v>
      </c>
      <c r="D80" s="62">
        <f t="shared" si="10"/>
        <v>990.95132000000012</v>
      </c>
      <c r="E80" s="10">
        <f>E79*50%</f>
        <v>75</v>
      </c>
      <c r="F80" s="9">
        <f t="shared" si="9"/>
        <v>74321.349000000017</v>
      </c>
    </row>
    <row r="81" spans="1:8" ht="15.75" x14ac:dyDescent="0.25">
      <c r="A81" s="41">
        <v>80</v>
      </c>
      <c r="B81" s="24" t="s">
        <v>117</v>
      </c>
      <c r="C81" s="13" t="s">
        <v>11</v>
      </c>
      <c r="D81" s="62">
        <f t="shared" si="10"/>
        <v>990.95132000000012</v>
      </c>
      <c r="E81" s="10">
        <v>250</v>
      </c>
      <c r="F81" s="9">
        <f t="shared" si="9"/>
        <v>247737.83000000002</v>
      </c>
    </row>
    <row r="82" spans="1:8" ht="15.75" x14ac:dyDescent="0.25">
      <c r="A82" s="41">
        <v>81</v>
      </c>
      <c r="B82" s="24" t="s">
        <v>118</v>
      </c>
      <c r="C82" s="13" t="s">
        <v>11</v>
      </c>
      <c r="D82" s="62">
        <f t="shared" si="10"/>
        <v>990.95132000000012</v>
      </c>
      <c r="E82" s="10">
        <f>E81*50%</f>
        <v>125</v>
      </c>
      <c r="F82" s="9">
        <f t="shared" si="9"/>
        <v>123868.91500000001</v>
      </c>
    </row>
    <row r="83" spans="1:8" ht="15.75" x14ac:dyDescent="0.25">
      <c r="A83" s="41">
        <v>82</v>
      </c>
      <c r="B83" s="24" t="s">
        <v>33</v>
      </c>
      <c r="C83" s="13" t="s">
        <v>11</v>
      </c>
      <c r="D83" s="62">
        <f t="shared" si="10"/>
        <v>990.95132000000012</v>
      </c>
      <c r="E83" s="10">
        <v>140</v>
      </c>
      <c r="F83" s="9">
        <f t="shared" si="9"/>
        <v>138733.18480000002</v>
      </c>
    </row>
    <row r="84" spans="1:8" ht="15.75" x14ac:dyDescent="0.25">
      <c r="A84" s="41">
        <v>83</v>
      </c>
      <c r="B84" s="24" t="s">
        <v>34</v>
      </c>
      <c r="C84" s="13" t="s">
        <v>11</v>
      </c>
      <c r="D84" s="62">
        <f t="shared" si="10"/>
        <v>990.95132000000012</v>
      </c>
      <c r="E84" s="10">
        <f>E83*120%</f>
        <v>168</v>
      </c>
      <c r="F84" s="9">
        <f t="shared" si="9"/>
        <v>166479.82176000002</v>
      </c>
    </row>
    <row r="85" spans="1:8" ht="15.75" x14ac:dyDescent="0.25">
      <c r="A85" s="41">
        <v>84</v>
      </c>
      <c r="B85" s="22" t="s">
        <v>4</v>
      </c>
      <c r="C85" s="13"/>
      <c r="D85" s="55"/>
      <c r="E85" s="10"/>
      <c r="F85" s="23">
        <f>SUM(F77:F84)</f>
        <v>1568675.9395600001</v>
      </c>
    </row>
    <row r="86" spans="1:8" ht="15.75" x14ac:dyDescent="0.25">
      <c r="A86" s="41">
        <v>85</v>
      </c>
      <c r="B86" s="21" t="s">
        <v>59</v>
      </c>
      <c r="C86" s="13" t="s">
        <v>44</v>
      </c>
      <c r="D86" s="55">
        <v>1</v>
      </c>
      <c r="E86" s="10">
        <v>280000</v>
      </c>
      <c r="F86" s="23">
        <f>D86*E86</f>
        <v>280000</v>
      </c>
      <c r="G86" s="57"/>
    </row>
    <row r="87" spans="1:8" ht="18.75" x14ac:dyDescent="0.3">
      <c r="A87" s="41">
        <v>86</v>
      </c>
      <c r="B87" s="46" t="s">
        <v>60</v>
      </c>
      <c r="C87" s="36" t="s">
        <v>57</v>
      </c>
      <c r="D87" s="36">
        <v>6</v>
      </c>
      <c r="E87" s="37"/>
      <c r="F87" s="39">
        <f>(F75+F85)*D87%</f>
        <v>760435.91091866384</v>
      </c>
    </row>
    <row r="88" spans="1:8" ht="18.75" x14ac:dyDescent="0.3">
      <c r="A88" s="41">
        <v>87</v>
      </c>
      <c r="B88" s="46" t="s">
        <v>114</v>
      </c>
      <c r="C88" s="36" t="s">
        <v>18</v>
      </c>
      <c r="D88" s="63">
        <f>35*F6/100</f>
        <v>346.83296200000007</v>
      </c>
      <c r="E88" s="37">
        <v>2000</v>
      </c>
      <c r="F88" s="39">
        <f>D88*E88</f>
        <v>693665.92400000012</v>
      </c>
    </row>
    <row r="89" spans="1:8" ht="15.75" x14ac:dyDescent="0.25">
      <c r="A89" s="41">
        <v>88</v>
      </c>
      <c r="B89" s="46" t="s">
        <v>61</v>
      </c>
      <c r="C89" s="47"/>
      <c r="D89" s="47"/>
      <c r="E89" s="48"/>
      <c r="F89" s="49">
        <f>SUM(F90:F105)</f>
        <v>3407750</v>
      </c>
      <c r="G89" s="57"/>
      <c r="H89" s="57"/>
    </row>
    <row r="90" spans="1:8" x14ac:dyDescent="0.25">
      <c r="A90" s="41">
        <v>89</v>
      </c>
      <c r="B90" s="50" t="s">
        <v>41</v>
      </c>
      <c r="C90" s="51" t="s">
        <v>12</v>
      </c>
      <c r="D90" s="51">
        <v>8</v>
      </c>
      <c r="E90" s="52">
        <v>5000</v>
      </c>
      <c r="F90" s="53">
        <f>D90*E90</f>
        <v>40000</v>
      </c>
    </row>
    <row r="91" spans="1:8" x14ac:dyDescent="0.25">
      <c r="A91" s="41">
        <v>90</v>
      </c>
      <c r="B91" s="50" t="s">
        <v>76</v>
      </c>
      <c r="C91" s="51" t="s">
        <v>12</v>
      </c>
      <c r="D91" s="51">
        <v>7</v>
      </c>
      <c r="E91" s="52">
        <v>4000</v>
      </c>
      <c r="F91" s="53">
        <f t="shared" ref="F91:F92" si="11">D91*E91</f>
        <v>28000</v>
      </c>
    </row>
    <row r="92" spans="1:8" s="67" customFormat="1" x14ac:dyDescent="0.25">
      <c r="A92" s="41">
        <v>91</v>
      </c>
      <c r="B92" s="70" t="s">
        <v>108</v>
      </c>
      <c r="C92" s="51" t="s">
        <v>12</v>
      </c>
      <c r="D92" s="51">
        <v>2</v>
      </c>
      <c r="E92" s="52">
        <v>6000</v>
      </c>
      <c r="F92" s="53">
        <f t="shared" si="11"/>
        <v>12000</v>
      </c>
      <c r="G92" s="57"/>
      <c r="H92" s="57"/>
    </row>
    <row r="93" spans="1:8" x14ac:dyDescent="0.25">
      <c r="A93" s="41">
        <v>92</v>
      </c>
      <c r="B93" s="50" t="s">
        <v>116</v>
      </c>
      <c r="C93" s="51" t="s">
        <v>12</v>
      </c>
      <c r="D93" s="64">
        <v>62</v>
      </c>
      <c r="E93" s="52">
        <v>3200</v>
      </c>
      <c r="F93" s="53">
        <f t="shared" ref="F93:F105" si="12">D93*E93</f>
        <v>198400</v>
      </c>
      <c r="G93" s="57"/>
    </row>
    <row r="94" spans="1:8" x14ac:dyDescent="0.25">
      <c r="A94" s="41">
        <v>93</v>
      </c>
      <c r="B94" s="50" t="s">
        <v>77</v>
      </c>
      <c r="C94" s="51" t="s">
        <v>12</v>
      </c>
      <c r="D94" s="51">
        <v>2</v>
      </c>
      <c r="E94" s="52">
        <v>7500</v>
      </c>
      <c r="F94" s="53">
        <f t="shared" si="12"/>
        <v>15000</v>
      </c>
    </row>
    <row r="95" spans="1:8" s="67" customFormat="1" x14ac:dyDescent="0.25">
      <c r="A95" s="41">
        <v>94</v>
      </c>
      <c r="B95" s="50" t="s">
        <v>122</v>
      </c>
      <c r="C95" s="51" t="s">
        <v>12</v>
      </c>
      <c r="D95" s="51">
        <v>48</v>
      </c>
      <c r="E95" s="52">
        <v>13500</v>
      </c>
      <c r="F95" s="53">
        <f t="shared" si="12"/>
        <v>648000</v>
      </c>
    </row>
    <row r="96" spans="1:8" s="67" customFormat="1" x14ac:dyDescent="0.25">
      <c r="A96" s="41">
        <v>95</v>
      </c>
      <c r="B96" s="50" t="s">
        <v>120</v>
      </c>
      <c r="C96" s="51" t="s">
        <v>12</v>
      </c>
      <c r="D96" s="51">
        <v>48</v>
      </c>
      <c r="E96" s="52">
        <v>2900</v>
      </c>
      <c r="F96" s="53">
        <f t="shared" si="12"/>
        <v>139200</v>
      </c>
    </row>
    <row r="97" spans="1:7" s="67" customFormat="1" x14ac:dyDescent="0.25">
      <c r="A97" s="41">
        <v>96</v>
      </c>
      <c r="B97" s="50" t="s">
        <v>121</v>
      </c>
      <c r="C97" s="51" t="s">
        <v>12</v>
      </c>
      <c r="D97" s="51">
        <v>48</v>
      </c>
      <c r="E97" s="52">
        <v>300</v>
      </c>
      <c r="F97" s="53">
        <f t="shared" si="12"/>
        <v>14400</v>
      </c>
    </row>
    <row r="98" spans="1:7" x14ac:dyDescent="0.25">
      <c r="A98" s="41">
        <v>97</v>
      </c>
      <c r="B98" s="50" t="s">
        <v>109</v>
      </c>
      <c r="C98" s="51" t="s">
        <v>12</v>
      </c>
      <c r="D98" s="51">
        <v>1</v>
      </c>
      <c r="E98" s="52">
        <v>17500</v>
      </c>
      <c r="F98" s="53">
        <f t="shared" si="12"/>
        <v>17500</v>
      </c>
    </row>
    <row r="99" spans="1:7" s="67" customFormat="1" x14ac:dyDescent="0.25">
      <c r="A99" s="41">
        <v>98</v>
      </c>
      <c r="B99" s="50" t="s">
        <v>110</v>
      </c>
      <c r="C99" s="51" t="s">
        <v>12</v>
      </c>
      <c r="D99" s="51">
        <v>1</v>
      </c>
      <c r="E99" s="52">
        <v>38500</v>
      </c>
      <c r="F99" s="65">
        <f t="shared" si="12"/>
        <v>38500</v>
      </c>
    </row>
    <row r="100" spans="1:7" s="67" customFormat="1" x14ac:dyDescent="0.25">
      <c r="A100" s="41">
        <v>99</v>
      </c>
      <c r="B100" s="50" t="s">
        <v>119</v>
      </c>
      <c r="C100" s="51" t="s">
        <v>12</v>
      </c>
      <c r="D100" s="51">
        <v>1</v>
      </c>
      <c r="E100" s="52">
        <v>350000</v>
      </c>
      <c r="F100" s="65">
        <f t="shared" si="12"/>
        <v>350000</v>
      </c>
    </row>
    <row r="101" spans="1:7" s="67" customFormat="1" x14ac:dyDescent="0.25">
      <c r="A101" s="41">
        <v>100</v>
      </c>
      <c r="B101" s="50" t="s">
        <v>111</v>
      </c>
      <c r="C101" s="51" t="s">
        <v>12</v>
      </c>
      <c r="D101" s="51">
        <v>1</v>
      </c>
      <c r="E101" s="52">
        <v>4250</v>
      </c>
      <c r="F101" s="65">
        <f>D101*E101</f>
        <v>4250</v>
      </c>
    </row>
    <row r="102" spans="1:7" s="67" customFormat="1" x14ac:dyDescent="0.25">
      <c r="A102" s="41">
        <v>101</v>
      </c>
      <c r="B102" s="50" t="s">
        <v>112</v>
      </c>
      <c r="C102" s="51" t="s">
        <v>12</v>
      </c>
      <c r="D102" s="51">
        <v>1</v>
      </c>
      <c r="E102" s="52">
        <v>13500</v>
      </c>
      <c r="F102" s="65">
        <f>D102*E102</f>
        <v>13500</v>
      </c>
    </row>
    <row r="103" spans="1:7" s="67" customFormat="1" x14ac:dyDescent="0.25">
      <c r="A103" s="41">
        <v>102</v>
      </c>
      <c r="B103" s="50" t="s">
        <v>113</v>
      </c>
      <c r="C103" s="51" t="s">
        <v>12</v>
      </c>
      <c r="D103" s="51">
        <v>4</v>
      </c>
      <c r="E103" s="52">
        <v>88000</v>
      </c>
      <c r="F103" s="53">
        <f>D103*E103</f>
        <v>352000</v>
      </c>
    </row>
    <row r="104" spans="1:7" x14ac:dyDescent="0.25">
      <c r="A104" s="41">
        <v>103</v>
      </c>
      <c r="B104" s="50" t="s">
        <v>78</v>
      </c>
      <c r="C104" s="51" t="s">
        <v>12</v>
      </c>
      <c r="D104" s="51">
        <v>1</v>
      </c>
      <c r="E104" s="52">
        <v>37000</v>
      </c>
      <c r="F104" s="65">
        <f t="shared" si="12"/>
        <v>37000</v>
      </c>
    </row>
    <row r="105" spans="1:7" ht="45" x14ac:dyDescent="0.25">
      <c r="A105" s="41">
        <v>104</v>
      </c>
      <c r="B105" s="68" t="s">
        <v>123</v>
      </c>
      <c r="C105" s="51" t="s">
        <v>12</v>
      </c>
      <c r="D105" s="69">
        <v>2</v>
      </c>
      <c r="E105" s="52">
        <v>750000</v>
      </c>
      <c r="F105" s="65">
        <f t="shared" si="12"/>
        <v>1500000</v>
      </c>
    </row>
    <row r="106" spans="1:7" ht="46.5" x14ac:dyDescent="0.25">
      <c r="A106" s="41">
        <v>105</v>
      </c>
      <c r="B106" s="16" t="s">
        <v>5</v>
      </c>
      <c r="C106" s="17"/>
      <c r="D106" s="17"/>
      <c r="E106" s="18"/>
      <c r="F106" s="40">
        <f>F75+F85+F87+F88+F86+F89</f>
        <v>17815783.683563061</v>
      </c>
      <c r="G106" s="73">
        <f>F106*1.43</f>
        <v>25476570.667495176</v>
      </c>
    </row>
    <row r="107" spans="1:7" x14ac:dyDescent="0.25">
      <c r="A107" s="41">
        <v>106</v>
      </c>
      <c r="B107" s="43" t="s">
        <v>24</v>
      </c>
      <c r="C107" s="38">
        <v>12</v>
      </c>
      <c r="D107" s="77" t="s">
        <v>35</v>
      </c>
      <c r="E107" s="77"/>
      <c r="F107" s="44">
        <f>F106/F6</f>
        <v>17978.465060789324</v>
      </c>
    </row>
    <row r="108" spans="1:7" x14ac:dyDescent="0.25">
      <c r="A108"/>
      <c r="C108"/>
      <c r="D108"/>
      <c r="F108" s="1"/>
    </row>
    <row r="109" spans="1:7" x14ac:dyDescent="0.25">
      <c r="A109"/>
      <c r="C109"/>
      <c r="D109"/>
      <c r="F109" s="1"/>
    </row>
    <row r="110" spans="1:7" x14ac:dyDescent="0.25">
      <c r="A110"/>
      <c r="C110"/>
      <c r="D110"/>
      <c r="F110" s="1"/>
    </row>
    <row r="111" spans="1:7" x14ac:dyDescent="0.25">
      <c r="A111"/>
      <c r="C111"/>
      <c r="D111"/>
      <c r="F111" s="1"/>
    </row>
  </sheetData>
  <mergeCells count="9">
    <mergeCell ref="A1:B1"/>
    <mergeCell ref="C1:F1"/>
    <mergeCell ref="C2:F2"/>
    <mergeCell ref="C3:F3"/>
    <mergeCell ref="D107:E107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68">
      <formula1>лестницы</formula1>
    </dataValidation>
    <dataValidation type="list" allowBlank="1" showInputMessage="1" showErrorMessage="1" sqref="B67">
      <formula1>прочие</formula1>
    </dataValidation>
    <dataValidation type="list" allowBlank="1" showInputMessage="1" showErrorMessage="1" sqref="B58:B62 B64:B65">
      <formula1>отделка</formula1>
    </dataValidation>
    <dataValidation type="list" allowBlank="1" showInputMessage="1" showErrorMessage="1" sqref="B18:B25">
      <formula1>наружныестены</formula1>
    </dataValidation>
    <dataValidation type="list" allowBlank="1" showInputMessage="1" showErrorMessage="1" sqref="B28:B39">
      <formula1>кровля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workbookViewId="0">
      <pane ySplit="8" topLeftCell="A99" activePane="bottomLeft" state="frozen"/>
      <selection pane="bottomLeft" activeCell="G106" sqref="G106"/>
    </sheetView>
  </sheetViews>
  <sheetFormatPr defaultRowHeight="15" x14ac:dyDescent="0.25"/>
  <cols>
    <col min="1" max="1" width="5.85546875" style="3" customWidth="1"/>
    <col min="2" max="2" width="64" style="67" customWidth="1"/>
    <col min="3" max="3" width="12.140625" style="2" customWidth="1"/>
    <col min="4" max="4" width="14.140625" style="2" customWidth="1"/>
    <col min="5" max="5" width="16" style="67" customWidth="1"/>
    <col min="6" max="6" width="23.5703125" style="2" customWidth="1"/>
    <col min="7" max="7" width="23" style="67" customWidth="1"/>
    <col min="8" max="8" width="17.140625" style="67" customWidth="1"/>
    <col min="9" max="9" width="13.5703125" style="67" customWidth="1"/>
    <col min="10" max="10" width="16.5703125" style="67" customWidth="1"/>
    <col min="11" max="11" width="16.7109375" style="67" customWidth="1"/>
    <col min="12" max="12" width="9.140625" style="67"/>
    <col min="13" max="13" width="15" style="67" customWidth="1"/>
    <col min="14" max="16384" width="9.140625" style="67"/>
  </cols>
  <sheetData>
    <row r="1" spans="1:14" ht="31.5" customHeight="1" x14ac:dyDescent="0.25">
      <c r="A1" s="74" t="str">
        <f>C2</f>
        <v>МЗ Офис</v>
      </c>
      <c r="B1" s="74"/>
      <c r="C1" s="75" t="str">
        <f>C3</f>
        <v>ООО "Тюменская модульная компания"</v>
      </c>
      <c r="D1" s="75"/>
      <c r="E1" s="75"/>
      <c r="F1" s="75"/>
    </row>
    <row r="2" spans="1:14" x14ac:dyDescent="0.25">
      <c r="A2" s="41">
        <v>1</v>
      </c>
      <c r="B2" s="42" t="s">
        <v>2</v>
      </c>
      <c r="C2" s="76" t="s">
        <v>86</v>
      </c>
      <c r="D2" s="76"/>
      <c r="E2" s="76"/>
      <c r="F2" s="76"/>
    </row>
    <row r="3" spans="1:14" x14ac:dyDescent="0.25">
      <c r="A3" s="41">
        <v>2</v>
      </c>
      <c r="B3" s="42" t="s">
        <v>0</v>
      </c>
      <c r="C3" s="76" t="s">
        <v>85</v>
      </c>
      <c r="D3" s="76"/>
      <c r="E3" s="76"/>
      <c r="F3" s="76"/>
    </row>
    <row r="4" spans="1:14" ht="14.25" customHeight="1" x14ac:dyDescent="0.25">
      <c r="A4" s="41">
        <v>3</v>
      </c>
      <c r="B4" s="42" t="s">
        <v>1</v>
      </c>
      <c r="C4" s="78" t="s">
        <v>87</v>
      </c>
      <c r="D4" s="79"/>
      <c r="E4" s="79"/>
      <c r="F4" s="80"/>
    </row>
    <row r="5" spans="1:14" ht="15.75" customHeight="1" x14ac:dyDescent="0.25">
      <c r="A5" s="41">
        <v>4</v>
      </c>
      <c r="B5" s="42" t="s">
        <v>63</v>
      </c>
      <c r="C5" s="78">
        <v>2.5</v>
      </c>
      <c r="D5" s="79"/>
      <c r="E5" s="79"/>
      <c r="F5" s="80"/>
    </row>
    <row r="6" spans="1:14" ht="29.25" customHeight="1" x14ac:dyDescent="0.25">
      <c r="A6" s="41">
        <v>5</v>
      </c>
      <c r="B6" s="42" t="s">
        <v>39</v>
      </c>
      <c r="C6" s="78" t="s">
        <v>88</v>
      </c>
      <c r="D6" s="80"/>
      <c r="E6" s="45" t="s">
        <v>38</v>
      </c>
      <c r="F6" s="61">
        <f>14.458*34.27*2</f>
        <v>990.95132000000012</v>
      </c>
      <c r="G6" s="66" t="s">
        <v>80</v>
      </c>
      <c r="H6" s="66" t="s">
        <v>81</v>
      </c>
      <c r="I6" s="66" t="s">
        <v>82</v>
      </c>
      <c r="J6" s="66" t="s">
        <v>84</v>
      </c>
      <c r="K6" s="66" t="s">
        <v>127</v>
      </c>
    </row>
    <row r="7" spans="1:14" x14ac:dyDescent="0.25">
      <c r="A7" s="41">
        <v>6</v>
      </c>
      <c r="B7" s="42" t="s">
        <v>3</v>
      </c>
      <c r="C7" s="78" t="s">
        <v>83</v>
      </c>
      <c r="D7" s="79"/>
      <c r="E7" s="79"/>
      <c r="F7" s="80"/>
    </row>
    <row r="8" spans="1:14" ht="56.2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57">
        <f>(F11+F15+F20+F21+F28+F29+F30+F31+F36+F38+F39+F42+F43+F47+F52+F53+F57+F59+F61+F62+F65+F71)*1.02+F77+F79+F81+F83+F89</f>
        <v>9393244.1069706399</v>
      </c>
      <c r="H8" s="57">
        <f>F106-G8-I8</f>
        <v>12543709.210778231</v>
      </c>
      <c r="I8" s="57">
        <f>F86</f>
        <v>420000</v>
      </c>
      <c r="J8" s="57">
        <f>C109*40000</f>
        <v>480000</v>
      </c>
      <c r="K8" s="57">
        <f>F107</f>
        <v>2235695.3317748872</v>
      </c>
    </row>
    <row r="9" spans="1:14" ht="18.75" x14ac:dyDescent="0.25">
      <c r="A9" s="41">
        <v>8</v>
      </c>
      <c r="B9" s="5" t="s">
        <v>91</v>
      </c>
      <c r="C9" s="4"/>
      <c r="D9" s="4"/>
      <c r="E9" s="4"/>
      <c r="F9" s="4"/>
      <c r="G9" s="57"/>
      <c r="M9" s="4"/>
      <c r="N9" s="67">
        <v>1.1000000000000001</v>
      </c>
    </row>
    <row r="10" spans="1:14" x14ac:dyDescent="0.25">
      <c r="A10" s="41">
        <v>9</v>
      </c>
      <c r="B10" s="6" t="s">
        <v>92</v>
      </c>
      <c r="C10" s="13" t="s">
        <v>93</v>
      </c>
      <c r="D10" s="13">
        <v>80</v>
      </c>
      <c r="E10" s="10">
        <f>M10*N10</f>
        <v>255</v>
      </c>
      <c r="F10" s="9">
        <f>D10*E10</f>
        <v>20400</v>
      </c>
      <c r="M10" s="10">
        <v>170</v>
      </c>
      <c r="N10" s="67">
        <v>1.5</v>
      </c>
    </row>
    <row r="11" spans="1:14" x14ac:dyDescent="0.25">
      <c r="A11" s="41">
        <v>10</v>
      </c>
      <c r="B11" s="6" t="s">
        <v>115</v>
      </c>
      <c r="C11" s="13" t="s">
        <v>12</v>
      </c>
      <c r="D11" s="13">
        <v>60</v>
      </c>
      <c r="E11" s="10">
        <f>M11*N11</f>
        <v>6160.0000000000009</v>
      </c>
      <c r="F11" s="9">
        <f t="shared" ref="F11:F15" si="0">D11*E11</f>
        <v>369600.00000000006</v>
      </c>
      <c r="M11" s="10">
        <v>5600</v>
      </c>
      <c r="N11" s="67">
        <v>1.1000000000000001</v>
      </c>
    </row>
    <row r="12" spans="1:14" x14ac:dyDescent="0.25">
      <c r="A12" s="41">
        <v>11</v>
      </c>
      <c r="B12" s="6" t="s">
        <v>94</v>
      </c>
      <c r="C12" s="13" t="s">
        <v>18</v>
      </c>
      <c r="D12" s="13">
        <f>0.5*D11</f>
        <v>30</v>
      </c>
      <c r="E12" s="10">
        <f>M12*N12</f>
        <v>2200</v>
      </c>
      <c r="F12" s="9">
        <f t="shared" si="0"/>
        <v>66000</v>
      </c>
      <c r="M12" s="10">
        <v>2000</v>
      </c>
      <c r="N12" s="67">
        <v>1.1000000000000001</v>
      </c>
    </row>
    <row r="13" spans="1:14" x14ac:dyDescent="0.25">
      <c r="A13" s="41">
        <v>12</v>
      </c>
      <c r="B13" s="6" t="s">
        <v>95</v>
      </c>
      <c r="C13" s="13" t="s">
        <v>12</v>
      </c>
      <c r="D13" s="13">
        <f>D11</f>
        <v>60</v>
      </c>
      <c r="E13" s="10">
        <f>M13*N13</f>
        <v>525</v>
      </c>
      <c r="F13" s="9">
        <f t="shared" si="0"/>
        <v>31500</v>
      </c>
      <c r="M13" s="10">
        <v>350</v>
      </c>
      <c r="N13" s="67">
        <v>1.5</v>
      </c>
    </row>
    <row r="14" spans="1:14" x14ac:dyDescent="0.25">
      <c r="A14" s="41">
        <v>13</v>
      </c>
      <c r="B14" s="6" t="s">
        <v>96</v>
      </c>
      <c r="C14" s="13" t="s">
        <v>97</v>
      </c>
      <c r="D14" s="54">
        <f>18.4*(34.27*2+14.458*2)/1000</f>
        <v>1.7931903999999999</v>
      </c>
      <c r="E14" s="10">
        <f>M14*N14</f>
        <v>10500</v>
      </c>
      <c r="F14" s="9">
        <f t="shared" si="0"/>
        <v>18828.499199999998</v>
      </c>
      <c r="M14" s="10">
        <v>7000</v>
      </c>
      <c r="N14" s="67">
        <v>1.5</v>
      </c>
    </row>
    <row r="15" spans="1:14" x14ac:dyDescent="0.25">
      <c r="A15" s="41">
        <v>14</v>
      </c>
      <c r="B15" s="6" t="s">
        <v>98</v>
      </c>
      <c r="C15" s="13" t="str">
        <f>VLOOKUP(B15,[2]Фундаменты!Прайс,2,FALSE)</f>
        <v>тн</v>
      </c>
      <c r="D15" s="54">
        <f>D14</f>
        <v>1.7931903999999999</v>
      </c>
      <c r="E15" s="10">
        <f>M15*N15</f>
        <v>36850</v>
      </c>
      <c r="F15" s="9">
        <f t="shared" si="0"/>
        <v>66079.06624</v>
      </c>
      <c r="M15" s="10">
        <v>33500</v>
      </c>
      <c r="N15" s="67">
        <v>1.1000000000000001</v>
      </c>
    </row>
    <row r="16" spans="1:14" x14ac:dyDescent="0.25">
      <c r="A16" s="41">
        <v>15</v>
      </c>
      <c r="B16" s="7" t="s">
        <v>4</v>
      </c>
      <c r="C16" s="14"/>
      <c r="D16" s="14"/>
      <c r="E16" s="10"/>
      <c r="F16" s="15">
        <f>SUM(F10:F15)</f>
        <v>572407.56544000003</v>
      </c>
      <c r="G16" s="57"/>
      <c r="M16" s="11"/>
      <c r="N16" s="67">
        <v>1.1000000000000001</v>
      </c>
    </row>
    <row r="17" spans="1:14" ht="18.75" x14ac:dyDescent="0.25">
      <c r="A17" s="41">
        <v>16</v>
      </c>
      <c r="B17" s="5" t="s">
        <v>21</v>
      </c>
      <c r="C17" s="4"/>
      <c r="D17" s="4"/>
      <c r="E17" s="10"/>
      <c r="F17" s="4"/>
      <c r="M17" s="4"/>
      <c r="N17" s="67">
        <v>1.1000000000000001</v>
      </c>
    </row>
    <row r="18" spans="1:14" x14ac:dyDescent="0.25">
      <c r="A18" s="41">
        <v>17</v>
      </c>
      <c r="B18" s="6" t="s">
        <v>42</v>
      </c>
      <c r="C18" s="13" t="s">
        <v>44</v>
      </c>
      <c r="D18" s="13">
        <f>D19+D20</f>
        <v>56</v>
      </c>
      <c r="E18" s="10">
        <f>M18*N18</f>
        <v>3000</v>
      </c>
      <c r="F18" s="9">
        <f>D18*E18</f>
        <v>168000</v>
      </c>
      <c r="M18" s="10">
        <v>2000</v>
      </c>
      <c r="N18" s="67">
        <v>1.5</v>
      </c>
    </row>
    <row r="19" spans="1:14" x14ac:dyDescent="0.25">
      <c r="A19" s="41">
        <v>18</v>
      </c>
      <c r="B19" s="6" t="s">
        <v>43</v>
      </c>
      <c r="C19" s="13" t="s">
        <v>44</v>
      </c>
      <c r="D19" s="13">
        <v>28</v>
      </c>
      <c r="E19" s="10">
        <f>M19*N19</f>
        <v>3000</v>
      </c>
      <c r="F19" s="9">
        <f>D19*E19</f>
        <v>84000</v>
      </c>
      <c r="M19" s="10">
        <v>2000</v>
      </c>
      <c r="N19" s="67">
        <v>1.5</v>
      </c>
    </row>
    <row r="20" spans="1:14" x14ac:dyDescent="0.25">
      <c r="A20" s="41">
        <v>19</v>
      </c>
      <c r="B20" s="6" t="s">
        <v>89</v>
      </c>
      <c r="C20" s="13" t="s">
        <v>44</v>
      </c>
      <c r="D20" s="13">
        <v>28</v>
      </c>
      <c r="E20" s="10">
        <f>M20*N20</f>
        <v>4500</v>
      </c>
      <c r="F20" s="9">
        <f t="shared" ref="F20" si="1">D20*E20</f>
        <v>126000</v>
      </c>
      <c r="M20" s="10">
        <v>3000</v>
      </c>
      <c r="N20" s="67">
        <v>1.5</v>
      </c>
    </row>
    <row r="21" spans="1:14" ht="30" x14ac:dyDescent="0.25">
      <c r="A21" s="41">
        <v>20</v>
      </c>
      <c r="B21" s="6" t="s">
        <v>99</v>
      </c>
      <c r="C21" s="13" t="s">
        <v>44</v>
      </c>
      <c r="D21" s="13">
        <v>8</v>
      </c>
      <c r="E21" s="10">
        <f>M21*N21</f>
        <v>168382.5</v>
      </c>
      <c r="F21" s="9">
        <f>D21*E21</f>
        <v>1347060</v>
      </c>
      <c r="M21" s="10">
        <v>129525</v>
      </c>
      <c r="N21" s="67">
        <v>1.3</v>
      </c>
    </row>
    <row r="22" spans="1:14" ht="30" x14ac:dyDescent="0.25">
      <c r="A22" s="41">
        <v>21</v>
      </c>
      <c r="B22" s="6" t="s">
        <v>100</v>
      </c>
      <c r="C22" s="13" t="s">
        <v>44</v>
      </c>
      <c r="D22" s="13">
        <v>48</v>
      </c>
      <c r="E22" s="10">
        <f>M22*N22</f>
        <v>149672.9</v>
      </c>
      <c r="F22" s="9">
        <f t="shared" ref="F22:F25" si="2">D22*E22</f>
        <v>7184299.1999999993</v>
      </c>
      <c r="M22" s="10">
        <v>115133</v>
      </c>
      <c r="N22" s="67">
        <v>1.3</v>
      </c>
    </row>
    <row r="23" spans="1:14" x14ac:dyDescent="0.25">
      <c r="A23" s="41">
        <v>22</v>
      </c>
      <c r="B23" s="6" t="s">
        <v>101</v>
      </c>
      <c r="C23" s="13" t="s">
        <v>11</v>
      </c>
      <c r="D23" s="55">
        <f>34*2</f>
        <v>68</v>
      </c>
      <c r="E23" s="10">
        <f>M23*N23</f>
        <v>3835</v>
      </c>
      <c r="F23" s="9">
        <f t="shared" si="2"/>
        <v>260780</v>
      </c>
      <c r="M23" s="10">
        <v>2950</v>
      </c>
      <c r="N23" s="67">
        <v>1.3</v>
      </c>
    </row>
    <row r="24" spans="1:14" x14ac:dyDescent="0.25">
      <c r="A24" s="41">
        <v>23</v>
      </c>
      <c r="B24" s="6" t="s">
        <v>102</v>
      </c>
      <c r="C24" s="13" t="s">
        <v>11</v>
      </c>
      <c r="D24" s="55">
        <f>D23</f>
        <v>68</v>
      </c>
      <c r="E24" s="10">
        <f>M24*N24</f>
        <v>4095</v>
      </c>
      <c r="F24" s="9">
        <f t="shared" si="2"/>
        <v>278460</v>
      </c>
      <c r="M24" s="10">
        <v>3150</v>
      </c>
      <c r="N24" s="67">
        <v>1.3</v>
      </c>
    </row>
    <row r="25" spans="1:14" x14ac:dyDescent="0.25">
      <c r="A25" s="41">
        <v>24</v>
      </c>
      <c r="B25" s="6" t="s">
        <v>90</v>
      </c>
      <c r="C25" s="13" t="s">
        <v>11</v>
      </c>
      <c r="D25" s="55">
        <f>(34.27*2+14.458*2)*0.7</f>
        <v>68.219200000000001</v>
      </c>
      <c r="E25" s="10">
        <f>M25*N25</f>
        <v>900</v>
      </c>
      <c r="F25" s="9">
        <f t="shared" si="2"/>
        <v>61397.279999999999</v>
      </c>
      <c r="M25" s="10">
        <v>600</v>
      </c>
      <c r="N25" s="67">
        <v>1.5</v>
      </c>
    </row>
    <row r="26" spans="1:14" x14ac:dyDescent="0.25">
      <c r="A26" s="41">
        <v>25</v>
      </c>
      <c r="B26" s="7" t="s">
        <v>4</v>
      </c>
      <c r="C26" s="14"/>
      <c r="D26" s="14"/>
      <c r="E26" s="10"/>
      <c r="F26" s="15">
        <f>SUM(F18:F25)</f>
        <v>9509996.4799999986</v>
      </c>
      <c r="G26" s="57"/>
      <c r="M26" s="11"/>
      <c r="N26" s="67">
        <v>1.1000000000000001</v>
      </c>
    </row>
    <row r="27" spans="1:14" ht="15.75" x14ac:dyDescent="0.25">
      <c r="A27" s="41">
        <v>26</v>
      </c>
      <c r="B27" s="5" t="s">
        <v>22</v>
      </c>
      <c r="C27" s="12"/>
      <c r="D27" s="12"/>
      <c r="E27" s="10"/>
      <c r="F27" s="9"/>
      <c r="M27" s="8"/>
      <c r="N27" s="67">
        <v>1.1000000000000001</v>
      </c>
    </row>
    <row r="28" spans="1:14" x14ac:dyDescent="0.25">
      <c r="A28" s="41">
        <v>27</v>
      </c>
      <c r="B28" s="6" t="s">
        <v>45</v>
      </c>
      <c r="C28" s="13" t="str">
        <f>VLOOKUP(B28,[3]Кровля!Прайс,2,FALSE)</f>
        <v>тн</v>
      </c>
      <c r="D28" s="55">
        <f>0.015*F6/2</f>
        <v>7.4321349000000003</v>
      </c>
      <c r="E28" s="10">
        <f>M28*N28</f>
        <v>46200.000000000007</v>
      </c>
      <c r="F28" s="9">
        <f>D28*E28</f>
        <v>343364.63238000008</v>
      </c>
      <c r="M28" s="10">
        <v>42000</v>
      </c>
      <c r="N28" s="67">
        <v>1.1000000000000001</v>
      </c>
    </row>
    <row r="29" spans="1:14" x14ac:dyDescent="0.25">
      <c r="A29" s="41">
        <v>28</v>
      </c>
      <c r="B29" s="6" t="s">
        <v>36</v>
      </c>
      <c r="C29" s="13" t="str">
        <f>VLOOKUP(B29,[3]Кровля!Прайс,2,FALSE)</f>
        <v>м2</v>
      </c>
      <c r="D29" s="55">
        <f>1.2*F6/2</f>
        <v>594.5707920000001</v>
      </c>
      <c r="E29" s="10">
        <f>M29*N29</f>
        <v>407.00000000000006</v>
      </c>
      <c r="F29" s="9">
        <f t="shared" ref="F29:F39" si="3">D29*E29</f>
        <v>241990.31234400006</v>
      </c>
      <c r="M29" s="10">
        <v>370</v>
      </c>
      <c r="N29" s="67">
        <v>1.1000000000000001</v>
      </c>
    </row>
    <row r="30" spans="1:14" x14ac:dyDescent="0.25">
      <c r="A30" s="41">
        <v>29</v>
      </c>
      <c r="B30" s="6" t="s">
        <v>46</v>
      </c>
      <c r="C30" s="13" t="str">
        <f>VLOOKUP(B30,[3]Кровля!Прайс,2,FALSE)</f>
        <v>м3</v>
      </c>
      <c r="D30" s="55">
        <f>D29*0.04/4</f>
        <v>5.9457079200000011</v>
      </c>
      <c r="E30" s="10">
        <f>M30*N30</f>
        <v>7150.0000000000009</v>
      </c>
      <c r="F30" s="9">
        <f t="shared" si="3"/>
        <v>42511.81162800001</v>
      </c>
      <c r="M30" s="10">
        <v>6500</v>
      </c>
      <c r="N30" s="67">
        <v>1.1000000000000001</v>
      </c>
    </row>
    <row r="31" spans="1:14" x14ac:dyDescent="0.25">
      <c r="A31" s="41">
        <v>30</v>
      </c>
      <c r="B31" s="6" t="s">
        <v>47</v>
      </c>
      <c r="C31" s="13" t="s">
        <v>48</v>
      </c>
      <c r="D31" s="55">
        <f>34.5*2+8*5</f>
        <v>109</v>
      </c>
      <c r="E31" s="10">
        <f>M31*N31</f>
        <v>715.00000000000011</v>
      </c>
      <c r="F31" s="9">
        <f t="shared" si="3"/>
        <v>77935.000000000015</v>
      </c>
      <c r="M31" s="10">
        <v>650</v>
      </c>
      <c r="N31" s="67">
        <v>1.1000000000000001</v>
      </c>
    </row>
    <row r="32" spans="1:14" x14ac:dyDescent="0.25">
      <c r="A32" s="41">
        <v>31</v>
      </c>
      <c r="B32" s="6" t="s">
        <v>49</v>
      </c>
      <c r="C32" s="13" t="str">
        <f>VLOOKUP(B32,[3]Кровля!Прайс,2,FALSE)</f>
        <v>тн</v>
      </c>
      <c r="D32" s="55">
        <f>D28</f>
        <v>7.4321349000000003</v>
      </c>
      <c r="E32" s="10">
        <f>M32*N32</f>
        <v>10500</v>
      </c>
      <c r="F32" s="9">
        <f t="shared" si="3"/>
        <v>78037.416450000004</v>
      </c>
      <c r="M32" s="10">
        <v>7000</v>
      </c>
      <c r="N32" s="67">
        <v>1.5</v>
      </c>
    </row>
    <row r="33" spans="1:14" x14ac:dyDescent="0.25">
      <c r="A33" s="41">
        <v>32</v>
      </c>
      <c r="B33" s="6" t="s">
        <v>50</v>
      </c>
      <c r="C33" s="13" t="str">
        <f>VLOOKUP(B33,[3]Кровля!Прайс,2,FALSE)</f>
        <v>м2</v>
      </c>
      <c r="D33" s="55">
        <f>D29</f>
        <v>594.5707920000001</v>
      </c>
      <c r="E33" s="10">
        <f>M33*N33</f>
        <v>375</v>
      </c>
      <c r="F33" s="9">
        <f t="shared" si="3"/>
        <v>222964.04700000005</v>
      </c>
      <c r="M33" s="10">
        <v>250</v>
      </c>
      <c r="N33" s="67">
        <v>1.5</v>
      </c>
    </row>
    <row r="34" spans="1:14" x14ac:dyDescent="0.25">
      <c r="A34" s="41">
        <v>33</v>
      </c>
      <c r="B34" s="6" t="s">
        <v>51</v>
      </c>
      <c r="C34" s="13" t="str">
        <f>VLOOKUP(B34,[3]Кровля!Прайс,2,FALSE)</f>
        <v>м</v>
      </c>
      <c r="D34" s="55">
        <f>D31</f>
        <v>109</v>
      </c>
      <c r="E34" s="10">
        <f>M34*N34</f>
        <v>390</v>
      </c>
      <c r="F34" s="9">
        <f t="shared" si="3"/>
        <v>42510</v>
      </c>
      <c r="M34" s="10">
        <f>M31*40%</f>
        <v>260</v>
      </c>
      <c r="N34" s="67">
        <v>1.5</v>
      </c>
    </row>
    <row r="35" spans="1:14" x14ac:dyDescent="0.25">
      <c r="A35" s="41">
        <v>34</v>
      </c>
      <c r="B35" s="6" t="s">
        <v>52</v>
      </c>
      <c r="C35" s="13" t="str">
        <f>VLOOKUP(B35,[1]Кровля!Прайс,2,FALSE)</f>
        <v>шт</v>
      </c>
      <c r="D35" s="55">
        <v>8</v>
      </c>
      <c r="E35" s="10">
        <f>M35*N35</f>
        <v>375</v>
      </c>
      <c r="F35" s="9">
        <f t="shared" si="3"/>
        <v>3000</v>
      </c>
      <c r="M35" s="10">
        <v>250</v>
      </c>
      <c r="N35" s="67">
        <v>1.5</v>
      </c>
    </row>
    <row r="36" spans="1:14" x14ac:dyDescent="0.25">
      <c r="A36" s="41">
        <v>35</v>
      </c>
      <c r="B36" s="6" t="s">
        <v>53</v>
      </c>
      <c r="C36" s="13" t="str">
        <f>VLOOKUP(B36,[1]Кровля!Прайс,2,FALSE)</f>
        <v>шт</v>
      </c>
      <c r="D36" s="55">
        <f>D35</f>
        <v>8</v>
      </c>
      <c r="E36" s="10">
        <f>M36*N36</f>
        <v>396.00000000000006</v>
      </c>
      <c r="F36" s="9">
        <f t="shared" si="3"/>
        <v>3168.0000000000005</v>
      </c>
      <c r="M36" s="10">
        <v>360</v>
      </c>
      <c r="N36" s="67">
        <v>1.1000000000000001</v>
      </c>
    </row>
    <row r="37" spans="1:14" x14ac:dyDescent="0.25">
      <c r="A37" s="41">
        <v>36</v>
      </c>
      <c r="B37" s="6" t="s">
        <v>54</v>
      </c>
      <c r="C37" s="13" t="str">
        <f>VLOOKUP(B37,[1]Кровля!Прайс,2,FALSE)</f>
        <v>м2</v>
      </c>
      <c r="D37" s="55">
        <f>17.5*2*0.8</f>
        <v>28</v>
      </c>
      <c r="E37" s="10">
        <f>M37*N37</f>
        <v>270</v>
      </c>
      <c r="F37" s="9">
        <f t="shared" si="3"/>
        <v>7560</v>
      </c>
      <c r="M37" s="10">
        <v>180</v>
      </c>
      <c r="N37" s="67">
        <v>1.5</v>
      </c>
    </row>
    <row r="38" spans="1:14" x14ac:dyDescent="0.25">
      <c r="A38" s="41">
        <v>37</v>
      </c>
      <c r="B38" s="6" t="s">
        <v>55</v>
      </c>
      <c r="C38" s="13" t="str">
        <f>VLOOKUP(B38,[1]Кровля!Прайс,2,FALSE)</f>
        <v>м2</v>
      </c>
      <c r="D38" s="55">
        <f>D37</f>
        <v>28</v>
      </c>
      <c r="E38" s="10">
        <f>M38*N38</f>
        <v>388.3</v>
      </c>
      <c r="F38" s="9">
        <f t="shared" si="3"/>
        <v>10872.4</v>
      </c>
      <c r="M38" s="10">
        <v>353</v>
      </c>
      <c r="N38" s="67">
        <v>1.1000000000000001</v>
      </c>
    </row>
    <row r="39" spans="1:14" x14ac:dyDescent="0.25">
      <c r="A39" s="41">
        <v>38</v>
      </c>
      <c r="B39" s="6" t="s">
        <v>56</v>
      </c>
      <c r="C39" s="13" t="str">
        <f>VLOOKUP(B39,[1]Кровля!Прайс,2,FALSE)</f>
        <v>компл</v>
      </c>
      <c r="D39" s="55">
        <f>D29</f>
        <v>594.5707920000001</v>
      </c>
      <c r="E39" s="10">
        <f>M39*N39</f>
        <v>82.5</v>
      </c>
      <c r="F39" s="9">
        <f t="shared" si="3"/>
        <v>49052.09034000001</v>
      </c>
      <c r="M39" s="10">
        <v>75</v>
      </c>
      <c r="N39" s="67">
        <v>1.1000000000000001</v>
      </c>
    </row>
    <row r="40" spans="1:14" x14ac:dyDescent="0.25">
      <c r="A40" s="41">
        <v>39</v>
      </c>
      <c r="B40" s="7" t="s">
        <v>4</v>
      </c>
      <c r="C40" s="14"/>
      <c r="D40" s="14"/>
      <c r="E40" s="10"/>
      <c r="F40" s="15">
        <f>SUM(F28:F39)</f>
        <v>1122965.7101420001</v>
      </c>
      <c r="G40" s="57"/>
      <c r="M40" s="11"/>
      <c r="N40" s="67">
        <v>1.1000000000000001</v>
      </c>
    </row>
    <row r="41" spans="1:14" ht="31.5" x14ac:dyDescent="0.25">
      <c r="A41" s="41">
        <v>40</v>
      </c>
      <c r="B41" s="5" t="s">
        <v>29</v>
      </c>
      <c r="C41" s="12"/>
      <c r="D41" s="12"/>
      <c r="E41" s="10"/>
      <c r="F41" s="9"/>
      <c r="M41" s="8"/>
      <c r="N41" s="67">
        <v>1.1000000000000001</v>
      </c>
    </row>
    <row r="42" spans="1:14" x14ac:dyDescent="0.25">
      <c r="A42" s="41">
        <v>41</v>
      </c>
      <c r="B42" s="6" t="s">
        <v>15</v>
      </c>
      <c r="C42" s="13" t="s">
        <v>12</v>
      </c>
      <c r="D42" s="13">
        <v>39</v>
      </c>
      <c r="E42" s="10">
        <f>M42*N42</f>
        <v>5500</v>
      </c>
      <c r="F42" s="9">
        <f t="shared" ref="F42:F44" si="4">D42*E42</f>
        <v>214500</v>
      </c>
      <c r="M42" s="10">
        <v>5000</v>
      </c>
      <c r="N42" s="67">
        <v>1.1000000000000001</v>
      </c>
    </row>
    <row r="43" spans="1:14" x14ac:dyDescent="0.25">
      <c r="A43" s="41">
        <v>42</v>
      </c>
      <c r="B43" s="6" t="s">
        <v>16</v>
      </c>
      <c r="C43" s="13" t="s">
        <v>12</v>
      </c>
      <c r="D43" s="13">
        <v>4</v>
      </c>
      <c r="E43" s="10">
        <f>M43*N43</f>
        <v>19800</v>
      </c>
      <c r="F43" s="9">
        <f t="shared" si="4"/>
        <v>79200</v>
      </c>
      <c r="M43" s="10">
        <v>18000</v>
      </c>
      <c r="N43" s="67">
        <v>1.1000000000000001</v>
      </c>
    </row>
    <row r="44" spans="1:14" x14ac:dyDescent="0.25">
      <c r="A44" s="41">
        <v>43</v>
      </c>
      <c r="B44" s="6" t="s">
        <v>25</v>
      </c>
      <c r="C44" s="13" t="s">
        <v>12</v>
      </c>
      <c r="D44" s="13">
        <v>43</v>
      </c>
      <c r="E44" s="10">
        <f>M44*N44</f>
        <v>1500</v>
      </c>
      <c r="F44" s="9">
        <f t="shared" si="4"/>
        <v>64500</v>
      </c>
      <c r="M44" s="10">
        <v>1000</v>
      </c>
      <c r="N44" s="67">
        <v>1.5</v>
      </c>
    </row>
    <row r="45" spans="1:14" x14ac:dyDescent="0.25">
      <c r="A45" s="41">
        <v>44</v>
      </c>
      <c r="B45" s="7" t="s">
        <v>4</v>
      </c>
      <c r="C45" s="14"/>
      <c r="D45" s="14"/>
      <c r="E45" s="10"/>
      <c r="F45" s="15">
        <f>SUM(F42:F44)</f>
        <v>358200</v>
      </c>
      <c r="M45" s="11"/>
      <c r="N45" s="67">
        <v>1.1000000000000001</v>
      </c>
    </row>
    <row r="46" spans="1:14" ht="15.75" x14ac:dyDescent="0.25">
      <c r="A46" s="41">
        <v>45</v>
      </c>
      <c r="B46" s="5" t="s">
        <v>23</v>
      </c>
      <c r="C46" s="12"/>
      <c r="D46" s="12"/>
      <c r="E46" s="10"/>
      <c r="F46" s="9"/>
      <c r="M46" s="8"/>
      <c r="N46" s="67">
        <v>1.1000000000000001</v>
      </c>
    </row>
    <row r="47" spans="1:14" x14ac:dyDescent="0.25">
      <c r="A47" s="41">
        <v>46</v>
      </c>
      <c r="B47" s="6" t="s">
        <v>14</v>
      </c>
      <c r="C47" s="13" t="s">
        <v>11</v>
      </c>
      <c r="D47" s="13">
        <f>(6*28+34*4+2.35*6+1.1+3.5)*C5</f>
        <v>806.75000000000011</v>
      </c>
      <c r="E47" s="10">
        <f>M47*N47</f>
        <v>1210</v>
      </c>
      <c r="F47" s="9">
        <f>D47*E47</f>
        <v>976167.50000000012</v>
      </c>
      <c r="M47" s="10">
        <v>1100</v>
      </c>
      <c r="N47" s="67">
        <v>1.1000000000000001</v>
      </c>
    </row>
    <row r="48" spans="1:14" x14ac:dyDescent="0.25">
      <c r="A48" s="41">
        <v>47</v>
      </c>
      <c r="B48" s="6" t="s">
        <v>17</v>
      </c>
      <c r="C48" s="13" t="s">
        <v>11</v>
      </c>
      <c r="D48" s="13">
        <f>D47</f>
        <v>806.75000000000011</v>
      </c>
      <c r="E48" s="10">
        <f>M48*N48</f>
        <v>180</v>
      </c>
      <c r="F48" s="9">
        <f>D48*E48</f>
        <v>145215.00000000003</v>
      </c>
      <c r="M48" s="10">
        <v>120</v>
      </c>
      <c r="N48" s="67">
        <v>1.5</v>
      </c>
    </row>
    <row r="49" spans="1:14" x14ac:dyDescent="0.25">
      <c r="A49" s="41">
        <v>48</v>
      </c>
      <c r="B49" s="7" t="s">
        <v>4</v>
      </c>
      <c r="C49" s="14"/>
      <c r="D49" s="14"/>
      <c r="E49" s="10"/>
      <c r="F49" s="15">
        <f>SUM(F47:F48)</f>
        <v>1121382.5000000002</v>
      </c>
      <c r="M49" s="11"/>
      <c r="N49" s="67">
        <v>1.1000000000000001</v>
      </c>
    </row>
    <row r="50" spans="1:14" ht="15.75" x14ac:dyDescent="0.25">
      <c r="A50" s="41">
        <v>49</v>
      </c>
      <c r="B50" s="5" t="s">
        <v>31</v>
      </c>
      <c r="C50" s="12"/>
      <c r="D50" s="12"/>
      <c r="E50" s="10"/>
      <c r="F50" s="9"/>
      <c r="M50" s="8"/>
      <c r="N50" s="67">
        <v>1.1000000000000001</v>
      </c>
    </row>
    <row r="51" spans="1:14" x14ac:dyDescent="0.25">
      <c r="A51" s="41">
        <v>50</v>
      </c>
      <c r="B51" s="19" t="s">
        <v>28</v>
      </c>
      <c r="C51" s="13"/>
      <c r="D51" s="13"/>
      <c r="E51" s="10"/>
      <c r="F51" s="9"/>
      <c r="M51" s="10"/>
      <c r="N51" s="67">
        <v>1.1000000000000001</v>
      </c>
    </row>
    <row r="52" spans="1:14" x14ac:dyDescent="0.25">
      <c r="A52" s="41">
        <v>51</v>
      </c>
      <c r="B52" s="6" t="s">
        <v>64</v>
      </c>
      <c r="C52" s="13" t="s">
        <v>11</v>
      </c>
      <c r="D52" s="13">
        <f>(6*8+2.35*14)*C5</f>
        <v>202.25</v>
      </c>
      <c r="E52" s="10">
        <f>M52*N52</f>
        <v>198.00000000000003</v>
      </c>
      <c r="F52" s="9">
        <f t="shared" ref="F52:F54" si="5">D52*E52</f>
        <v>40045.500000000007</v>
      </c>
      <c r="G52" s="67" t="s">
        <v>75</v>
      </c>
      <c r="M52" s="10">
        <v>180</v>
      </c>
      <c r="N52" s="67">
        <v>1.1000000000000001</v>
      </c>
    </row>
    <row r="53" spans="1:14" x14ac:dyDescent="0.25">
      <c r="A53" s="41">
        <v>52</v>
      </c>
      <c r="B53" s="6" t="s">
        <v>65</v>
      </c>
      <c r="C53" s="13" t="s">
        <v>11</v>
      </c>
      <c r="D53" s="13">
        <f>D52</f>
        <v>202.25</v>
      </c>
      <c r="E53" s="10">
        <f>M53*N53</f>
        <v>104.50000000000001</v>
      </c>
      <c r="F53" s="9">
        <f t="shared" si="5"/>
        <v>21135.125000000004</v>
      </c>
      <c r="M53" s="10">
        <v>95</v>
      </c>
      <c r="N53" s="67">
        <v>1.1000000000000001</v>
      </c>
    </row>
    <row r="54" spans="1:14" x14ac:dyDescent="0.25">
      <c r="A54" s="41">
        <v>53</v>
      </c>
      <c r="B54" s="6" t="s">
        <v>66</v>
      </c>
      <c r="C54" s="13" t="s">
        <v>11</v>
      </c>
      <c r="D54" s="13">
        <f>D52</f>
        <v>202.25</v>
      </c>
      <c r="E54" s="10">
        <f>M54*N54</f>
        <v>225</v>
      </c>
      <c r="F54" s="9">
        <f t="shared" si="5"/>
        <v>45506.25</v>
      </c>
      <c r="M54" s="10">
        <v>150</v>
      </c>
      <c r="N54" s="67">
        <v>1.5</v>
      </c>
    </row>
    <row r="55" spans="1:14" x14ac:dyDescent="0.25">
      <c r="A55" s="41">
        <v>54</v>
      </c>
      <c r="B55" s="19" t="s">
        <v>26</v>
      </c>
      <c r="C55" s="13"/>
      <c r="D55" s="13"/>
      <c r="E55" s="10"/>
      <c r="F55" s="9"/>
      <c r="M55" s="10"/>
      <c r="N55" s="67">
        <v>1.1000000000000001</v>
      </c>
    </row>
    <row r="56" spans="1:14" x14ac:dyDescent="0.25">
      <c r="A56" s="41">
        <v>55</v>
      </c>
      <c r="B56" s="6" t="s">
        <v>67</v>
      </c>
      <c r="C56" s="13" t="s">
        <v>11</v>
      </c>
      <c r="D56" s="13">
        <f>D57</f>
        <v>764.6</v>
      </c>
      <c r="E56" s="10">
        <f>M56*N56</f>
        <v>150</v>
      </c>
      <c r="F56" s="9">
        <f>D56*E56</f>
        <v>114690</v>
      </c>
      <c r="M56" s="10">
        <v>100</v>
      </c>
      <c r="N56" s="67">
        <v>1.5</v>
      </c>
    </row>
    <row r="57" spans="1:14" x14ac:dyDescent="0.25">
      <c r="A57" s="41">
        <v>56</v>
      </c>
      <c r="B57" s="6" t="s">
        <v>37</v>
      </c>
      <c r="C57" s="13" t="s">
        <v>11</v>
      </c>
      <c r="D57" s="13">
        <f>14*56+34*2*2-D58-D60</f>
        <v>764.6</v>
      </c>
      <c r="E57" s="10">
        <f>M57*N57</f>
        <v>385.00000000000006</v>
      </c>
      <c r="F57" s="9">
        <f>D57*E57</f>
        <v>294371.00000000006</v>
      </c>
      <c r="M57" s="10">
        <v>350</v>
      </c>
      <c r="N57" s="67">
        <v>1.1000000000000001</v>
      </c>
    </row>
    <row r="58" spans="1:14" x14ac:dyDescent="0.25">
      <c r="A58" s="41">
        <v>57</v>
      </c>
      <c r="B58" s="6" t="s">
        <v>68</v>
      </c>
      <c r="C58" s="13" t="str">
        <f>VLOOKUP(B58,[2]Отделка!Прайс,2,FALSE)</f>
        <v>м2</v>
      </c>
      <c r="D58" s="13">
        <f>14</f>
        <v>14</v>
      </c>
      <c r="E58" s="10">
        <f>M58*N58</f>
        <v>540</v>
      </c>
      <c r="F58" s="9">
        <f t="shared" ref="F58:F62" si="6">D58*E58</f>
        <v>7560</v>
      </c>
      <c r="G58" s="67" t="s">
        <v>104</v>
      </c>
      <c r="M58" s="10">
        <v>360</v>
      </c>
      <c r="N58" s="67">
        <v>1.5</v>
      </c>
    </row>
    <row r="59" spans="1:14" x14ac:dyDescent="0.25">
      <c r="A59" s="41">
        <v>58</v>
      </c>
      <c r="B59" s="6" t="s">
        <v>69</v>
      </c>
      <c r="C59" s="13" t="str">
        <f>VLOOKUP(B59,[2]Отделка!Прайс,2,FALSE)</f>
        <v>м2</v>
      </c>
      <c r="D59" s="13">
        <f>D58</f>
        <v>14</v>
      </c>
      <c r="E59" s="10">
        <f>M59*N59</f>
        <v>699.43500000000006</v>
      </c>
      <c r="F59" s="9">
        <f t="shared" si="6"/>
        <v>9792.09</v>
      </c>
      <c r="M59" s="10">
        <v>635.85</v>
      </c>
      <c r="N59" s="67">
        <v>1.1000000000000001</v>
      </c>
    </row>
    <row r="60" spans="1:14" x14ac:dyDescent="0.25">
      <c r="A60" s="41">
        <v>59</v>
      </c>
      <c r="B60" s="6" t="s">
        <v>70</v>
      </c>
      <c r="C60" s="13" t="str">
        <f>VLOOKUP(B60,[2]Отделка!Прайс,2,FALSE)</f>
        <v>м2</v>
      </c>
      <c r="D60" s="13">
        <f>14*6+28.7*2</f>
        <v>141.4</v>
      </c>
      <c r="E60" s="10">
        <f>M60*N60</f>
        <v>675</v>
      </c>
      <c r="F60" s="9">
        <f t="shared" si="6"/>
        <v>95445</v>
      </c>
      <c r="G60" s="67" t="s">
        <v>125</v>
      </c>
      <c r="M60" s="10">
        <v>450</v>
      </c>
      <c r="N60" s="67">
        <v>1.5</v>
      </c>
    </row>
    <row r="61" spans="1:14" x14ac:dyDescent="0.25">
      <c r="A61" s="41">
        <v>60</v>
      </c>
      <c r="B61" s="6" t="s">
        <v>71</v>
      </c>
      <c r="C61" s="13" t="s">
        <v>11</v>
      </c>
      <c r="D61" s="13">
        <f>D60</f>
        <v>141.4</v>
      </c>
      <c r="E61" s="10">
        <f>M61*N61</f>
        <v>658.90000000000009</v>
      </c>
      <c r="F61" s="9">
        <f t="shared" si="6"/>
        <v>93168.460000000021</v>
      </c>
      <c r="M61" s="10">
        <v>599</v>
      </c>
      <c r="N61" s="67">
        <v>1.1000000000000001</v>
      </c>
    </row>
    <row r="62" spans="1:14" x14ac:dyDescent="0.25">
      <c r="A62" s="41">
        <v>61</v>
      </c>
      <c r="B62" s="6" t="s">
        <v>72</v>
      </c>
      <c r="C62" s="13" t="str">
        <f>VLOOKUP(B62,[2]Отделка!Прайс,2,FALSE)</f>
        <v>кг</v>
      </c>
      <c r="D62" s="13">
        <f>D60*5</f>
        <v>707</v>
      </c>
      <c r="E62" s="10">
        <f>M62*N62</f>
        <v>12.870000000000001</v>
      </c>
      <c r="F62" s="9">
        <f t="shared" si="6"/>
        <v>9099.09</v>
      </c>
      <c r="M62" s="10">
        <v>11.7</v>
      </c>
      <c r="N62" s="67">
        <v>1.1000000000000001</v>
      </c>
    </row>
    <row r="63" spans="1:14" ht="15.75" x14ac:dyDescent="0.25">
      <c r="A63" s="41">
        <v>62</v>
      </c>
      <c r="B63" s="19" t="s">
        <v>30</v>
      </c>
      <c r="C63" s="12"/>
      <c r="D63" s="12"/>
      <c r="E63" s="10"/>
      <c r="F63" s="9"/>
      <c r="M63" s="8"/>
      <c r="N63" s="67">
        <v>1.1000000000000001</v>
      </c>
    </row>
    <row r="64" spans="1:14" x14ac:dyDescent="0.25">
      <c r="A64" s="41">
        <v>63</v>
      </c>
      <c r="B64" s="6" t="s">
        <v>73</v>
      </c>
      <c r="C64" s="13" t="str">
        <f>VLOOKUP(B64,[2]Отделка!Прайс,2,FALSE)</f>
        <v>м2</v>
      </c>
      <c r="D64" s="13">
        <v>56</v>
      </c>
      <c r="E64" s="10">
        <f>M64*N64</f>
        <v>270</v>
      </c>
      <c r="F64" s="9">
        <f t="shared" ref="F64:F65" si="7">D64*E64</f>
        <v>15120</v>
      </c>
      <c r="G64" s="67" t="s">
        <v>75</v>
      </c>
      <c r="M64" s="10">
        <v>180</v>
      </c>
      <c r="N64" s="67">
        <v>1.5</v>
      </c>
    </row>
    <row r="65" spans="1:14" ht="30" x14ac:dyDescent="0.25">
      <c r="A65" s="41">
        <v>64</v>
      </c>
      <c r="B65" s="6" t="s">
        <v>74</v>
      </c>
      <c r="C65" s="13" t="s">
        <v>11</v>
      </c>
      <c r="D65" s="13">
        <f>D64</f>
        <v>56</v>
      </c>
      <c r="E65" s="10">
        <f>M65*N65</f>
        <v>302.5</v>
      </c>
      <c r="F65" s="9">
        <f t="shared" si="7"/>
        <v>16940</v>
      </c>
      <c r="M65" s="10">
        <v>275</v>
      </c>
      <c r="N65" s="67">
        <v>1.1000000000000001</v>
      </c>
    </row>
    <row r="66" spans="1:14" x14ac:dyDescent="0.25">
      <c r="A66" s="41">
        <v>65</v>
      </c>
      <c r="B66" s="7" t="s">
        <v>4</v>
      </c>
      <c r="C66" s="14"/>
      <c r="D66" s="14"/>
      <c r="E66" s="10"/>
      <c r="F66" s="15">
        <f>SUM(F51:F65)</f>
        <v>762872.51500000001</v>
      </c>
      <c r="M66" s="11"/>
      <c r="N66" s="67">
        <v>1.1000000000000001</v>
      </c>
    </row>
    <row r="67" spans="1:14" ht="15.75" x14ac:dyDescent="0.25">
      <c r="A67" s="41">
        <v>66</v>
      </c>
      <c r="B67" s="5" t="s">
        <v>124</v>
      </c>
      <c r="C67" s="58"/>
      <c r="D67" s="58"/>
      <c r="E67" s="10"/>
      <c r="F67" s="60"/>
      <c r="M67" s="59"/>
      <c r="N67" s="67">
        <v>1.1000000000000001</v>
      </c>
    </row>
    <row r="68" spans="1:14" x14ac:dyDescent="0.25">
      <c r="A68" s="41">
        <v>67</v>
      </c>
      <c r="B68" s="6" t="s">
        <v>79</v>
      </c>
      <c r="C68" s="13" t="s">
        <v>58</v>
      </c>
      <c r="D68" s="13">
        <f>D69+D70+D71</f>
        <v>4.24</v>
      </c>
      <c r="E68" s="10">
        <f>M68*N68</f>
        <v>16500</v>
      </c>
      <c r="F68" s="9">
        <f t="shared" ref="F68" si="8">D68*E68</f>
        <v>69960</v>
      </c>
      <c r="M68" s="10">
        <v>11000</v>
      </c>
      <c r="N68" s="67">
        <v>1.5</v>
      </c>
    </row>
    <row r="69" spans="1:14" x14ac:dyDescent="0.25">
      <c r="A69" s="41">
        <v>68</v>
      </c>
      <c r="B69" s="6" t="s">
        <v>107</v>
      </c>
      <c r="C69" s="13" t="s">
        <v>58</v>
      </c>
      <c r="D69" s="13">
        <f>0.97*2</f>
        <v>1.94</v>
      </c>
      <c r="E69" s="10">
        <f>M69*N69</f>
        <v>55000.000000000007</v>
      </c>
      <c r="F69" s="9">
        <f>D69*E69</f>
        <v>106700.00000000001</v>
      </c>
      <c r="M69" s="10">
        <v>50000</v>
      </c>
      <c r="N69" s="67">
        <v>1.1000000000000001</v>
      </c>
    </row>
    <row r="70" spans="1:14" x14ac:dyDescent="0.25">
      <c r="A70" s="41">
        <v>69</v>
      </c>
      <c r="B70" s="6" t="s">
        <v>106</v>
      </c>
      <c r="C70" s="13" t="s">
        <v>58</v>
      </c>
      <c r="D70" s="13">
        <f>0.75*2</f>
        <v>1.5</v>
      </c>
      <c r="E70" s="10">
        <f>M70*N70</f>
        <v>55000.000000000007</v>
      </c>
      <c r="F70" s="9">
        <f>D70*E70</f>
        <v>82500.000000000015</v>
      </c>
      <c r="M70" s="10">
        <v>50000</v>
      </c>
      <c r="N70" s="67">
        <v>1.1000000000000001</v>
      </c>
    </row>
    <row r="71" spans="1:14" x14ac:dyDescent="0.25">
      <c r="A71" s="41">
        <v>70</v>
      </c>
      <c r="B71" s="6" t="s">
        <v>105</v>
      </c>
      <c r="C71" s="13" t="s">
        <v>58</v>
      </c>
      <c r="D71" s="13">
        <f>0.4*2</f>
        <v>0.8</v>
      </c>
      <c r="E71" s="10">
        <f>M71*N71</f>
        <v>55000.000000000007</v>
      </c>
      <c r="F71" s="9">
        <f>D71*E71</f>
        <v>44000.000000000007</v>
      </c>
      <c r="M71" s="10">
        <v>50000</v>
      </c>
      <c r="N71" s="67">
        <v>1.1000000000000001</v>
      </c>
    </row>
    <row r="72" spans="1:14" x14ac:dyDescent="0.25">
      <c r="A72" s="41">
        <v>71</v>
      </c>
      <c r="B72" s="7" t="s">
        <v>4</v>
      </c>
      <c r="C72" s="13"/>
      <c r="D72" s="14"/>
      <c r="E72" s="10"/>
      <c r="F72" s="15">
        <f>SUM(F68:F71)</f>
        <v>303160</v>
      </c>
      <c r="M72" s="11"/>
      <c r="N72" s="67">
        <v>1.1000000000000001</v>
      </c>
    </row>
    <row r="73" spans="1:14" ht="15.75" x14ac:dyDescent="0.25">
      <c r="A73" s="41">
        <v>72</v>
      </c>
      <c r="B73" s="25" t="s">
        <v>13</v>
      </c>
      <c r="C73" s="26"/>
      <c r="D73" s="26"/>
      <c r="E73" s="37"/>
      <c r="F73" s="28">
        <f>SUM(F10:F72)/2</f>
        <v>13750984.770582</v>
      </c>
      <c r="M73" s="27"/>
      <c r="N73" s="67">
        <v>1.1000000000000001</v>
      </c>
    </row>
    <row r="74" spans="1:14" ht="15.75" x14ac:dyDescent="0.25">
      <c r="A74" s="41">
        <v>73</v>
      </c>
      <c r="B74" s="29" t="s">
        <v>103</v>
      </c>
      <c r="C74" s="56" t="s">
        <v>57</v>
      </c>
      <c r="D74" s="56">
        <v>2</v>
      </c>
      <c r="E74" s="37"/>
      <c r="F74" s="31">
        <f>F73*D74%</f>
        <v>275019.69541163999</v>
      </c>
      <c r="M74" s="30"/>
      <c r="N74" s="67">
        <v>1.1000000000000001</v>
      </c>
    </row>
    <row r="75" spans="1:14" ht="21" x14ac:dyDescent="0.35">
      <c r="A75" s="41">
        <v>74</v>
      </c>
      <c r="B75" s="32" t="s">
        <v>19</v>
      </c>
      <c r="C75" s="33"/>
      <c r="D75" s="33"/>
      <c r="E75" s="37"/>
      <c r="F75" s="35">
        <f>F73+F74</f>
        <v>14026004.465993639</v>
      </c>
      <c r="M75" s="34"/>
      <c r="N75" s="67">
        <v>1.1000000000000001</v>
      </c>
    </row>
    <row r="76" spans="1:14" ht="15.75" x14ac:dyDescent="0.25">
      <c r="A76" s="41">
        <v>75</v>
      </c>
      <c r="B76" s="21" t="s">
        <v>62</v>
      </c>
      <c r="C76" s="12"/>
      <c r="D76" s="12"/>
      <c r="E76" s="10"/>
      <c r="F76" s="9"/>
      <c r="M76" s="8"/>
      <c r="N76" s="67">
        <v>1.1000000000000001</v>
      </c>
    </row>
    <row r="77" spans="1:14" ht="15.75" x14ac:dyDescent="0.25">
      <c r="A77" s="41">
        <v>76</v>
      </c>
      <c r="B77" s="20" t="s">
        <v>32</v>
      </c>
      <c r="C77" s="13" t="s">
        <v>11</v>
      </c>
      <c r="D77" s="62">
        <f>F6</f>
        <v>990.95132000000012</v>
      </c>
      <c r="E77" s="10">
        <f>M77*N77</f>
        <v>495.00000000000006</v>
      </c>
      <c r="F77" s="9">
        <f t="shared" ref="F77:F84" si="9">D77*E77</f>
        <v>490520.90340000013</v>
      </c>
      <c r="M77" s="10">
        <v>450</v>
      </c>
      <c r="N77" s="67">
        <v>1.1000000000000001</v>
      </c>
    </row>
    <row r="78" spans="1:14" ht="15.75" x14ac:dyDescent="0.25">
      <c r="A78" s="41">
        <v>77</v>
      </c>
      <c r="B78" s="20" t="s">
        <v>20</v>
      </c>
      <c r="C78" s="13" t="s">
        <v>11</v>
      </c>
      <c r="D78" s="62">
        <f>D77</f>
        <v>990.95132000000012</v>
      </c>
      <c r="E78" s="10">
        <f>M78*N78</f>
        <v>337.5</v>
      </c>
      <c r="F78" s="9">
        <f t="shared" si="9"/>
        <v>334446.07050000003</v>
      </c>
      <c r="M78" s="10">
        <f>M77*50%</f>
        <v>225</v>
      </c>
      <c r="N78" s="67">
        <v>1.5</v>
      </c>
    </row>
    <row r="79" spans="1:14" ht="15.75" x14ac:dyDescent="0.25">
      <c r="A79" s="41">
        <v>78</v>
      </c>
      <c r="B79" s="24" t="s">
        <v>40</v>
      </c>
      <c r="C79" s="13" t="s">
        <v>11</v>
      </c>
      <c r="D79" s="62">
        <f t="shared" ref="D79:D84" si="10">D78</f>
        <v>990.95132000000012</v>
      </c>
      <c r="E79" s="10">
        <f>M79*N79</f>
        <v>165</v>
      </c>
      <c r="F79" s="9">
        <f t="shared" si="9"/>
        <v>163506.96780000001</v>
      </c>
      <c r="M79" s="10">
        <v>150</v>
      </c>
      <c r="N79" s="67">
        <v>1.1000000000000001</v>
      </c>
    </row>
    <row r="80" spans="1:14" ht="15.75" x14ac:dyDescent="0.25">
      <c r="A80" s="41">
        <v>79</v>
      </c>
      <c r="B80" s="24" t="s">
        <v>27</v>
      </c>
      <c r="C80" s="13" t="s">
        <v>11</v>
      </c>
      <c r="D80" s="62">
        <f t="shared" si="10"/>
        <v>990.95132000000012</v>
      </c>
      <c r="E80" s="10">
        <f>M80*N80</f>
        <v>112.5</v>
      </c>
      <c r="F80" s="9">
        <f t="shared" si="9"/>
        <v>111482.02350000001</v>
      </c>
      <c r="M80" s="10">
        <f>M79*50%</f>
        <v>75</v>
      </c>
      <c r="N80" s="67">
        <v>1.5</v>
      </c>
    </row>
    <row r="81" spans="1:14" ht="15.75" x14ac:dyDescent="0.25">
      <c r="A81" s="41">
        <v>80</v>
      </c>
      <c r="B81" s="24" t="s">
        <v>117</v>
      </c>
      <c r="C81" s="13" t="s">
        <v>11</v>
      </c>
      <c r="D81" s="62">
        <f t="shared" si="10"/>
        <v>990.95132000000012</v>
      </c>
      <c r="E81" s="10">
        <f>M81*N81</f>
        <v>275</v>
      </c>
      <c r="F81" s="9">
        <f t="shared" si="9"/>
        <v>272511.61300000001</v>
      </c>
      <c r="M81" s="10">
        <v>250</v>
      </c>
      <c r="N81" s="67">
        <v>1.1000000000000001</v>
      </c>
    </row>
    <row r="82" spans="1:14" ht="15.75" x14ac:dyDescent="0.25">
      <c r="A82" s="41">
        <v>81</v>
      </c>
      <c r="B82" s="24" t="s">
        <v>118</v>
      </c>
      <c r="C82" s="13" t="s">
        <v>11</v>
      </c>
      <c r="D82" s="62">
        <f t="shared" si="10"/>
        <v>990.95132000000012</v>
      </c>
      <c r="E82" s="10">
        <f>M82*N82</f>
        <v>187.5</v>
      </c>
      <c r="F82" s="9">
        <f t="shared" si="9"/>
        <v>185803.37250000003</v>
      </c>
      <c r="M82" s="10">
        <f>M81*50%</f>
        <v>125</v>
      </c>
      <c r="N82" s="67">
        <v>1.5</v>
      </c>
    </row>
    <row r="83" spans="1:14" ht="15.75" x14ac:dyDescent="0.25">
      <c r="A83" s="41">
        <v>82</v>
      </c>
      <c r="B83" s="24" t="s">
        <v>33</v>
      </c>
      <c r="C83" s="13" t="s">
        <v>11</v>
      </c>
      <c r="D83" s="62">
        <f t="shared" si="10"/>
        <v>990.95132000000012</v>
      </c>
      <c r="E83" s="10">
        <f>M83*N83</f>
        <v>154</v>
      </c>
      <c r="F83" s="9">
        <f t="shared" si="9"/>
        <v>152606.50328</v>
      </c>
      <c r="M83" s="10">
        <v>140</v>
      </c>
      <c r="N83" s="67">
        <v>1.1000000000000001</v>
      </c>
    </row>
    <row r="84" spans="1:14" ht="15.75" x14ac:dyDescent="0.25">
      <c r="A84" s="41">
        <v>83</v>
      </c>
      <c r="B84" s="24" t="s">
        <v>34</v>
      </c>
      <c r="C84" s="13" t="s">
        <v>11</v>
      </c>
      <c r="D84" s="62">
        <f t="shared" si="10"/>
        <v>990.95132000000012</v>
      </c>
      <c r="E84" s="10">
        <f>M84*N84</f>
        <v>252</v>
      </c>
      <c r="F84" s="9">
        <f t="shared" si="9"/>
        <v>249719.73264000003</v>
      </c>
      <c r="M84" s="10">
        <f>M83*120%</f>
        <v>168</v>
      </c>
      <c r="N84" s="67">
        <v>1.5</v>
      </c>
    </row>
    <row r="85" spans="1:14" ht="15.75" x14ac:dyDescent="0.25">
      <c r="A85" s="41">
        <v>84</v>
      </c>
      <c r="B85" s="22" t="s">
        <v>4</v>
      </c>
      <c r="C85" s="13"/>
      <c r="D85" s="55"/>
      <c r="E85" s="10"/>
      <c r="F85" s="23">
        <f>SUM(F77:F84)</f>
        <v>1960597.1866200001</v>
      </c>
      <c r="M85" s="10"/>
      <c r="N85" s="67">
        <v>1.1000000000000001</v>
      </c>
    </row>
    <row r="86" spans="1:14" ht="15.75" x14ac:dyDescent="0.25">
      <c r="A86" s="41">
        <v>85</v>
      </c>
      <c r="B86" s="21" t="s">
        <v>59</v>
      </c>
      <c r="C86" s="13" t="s">
        <v>44</v>
      </c>
      <c r="D86" s="55">
        <v>1</v>
      </c>
      <c r="E86" s="10">
        <f>M86*N86</f>
        <v>420000</v>
      </c>
      <c r="F86" s="23">
        <f>D86*E86</f>
        <v>420000</v>
      </c>
      <c r="G86" s="57"/>
      <c r="M86" s="10">
        <v>280000</v>
      </c>
      <c r="N86" s="67">
        <v>1.5</v>
      </c>
    </row>
    <row r="87" spans="1:14" ht="18.75" x14ac:dyDescent="0.3">
      <c r="A87" s="41">
        <v>86</v>
      </c>
      <c r="B87" s="46" t="s">
        <v>60</v>
      </c>
      <c r="C87" s="36" t="s">
        <v>57</v>
      </c>
      <c r="D87" s="36">
        <v>0</v>
      </c>
      <c r="E87" s="36">
        <f>M87*N87</f>
        <v>9</v>
      </c>
      <c r="F87" s="39">
        <f>(F75+F85)*E87%</f>
        <v>1438794.1487352275</v>
      </c>
      <c r="M87" s="37">
        <v>6</v>
      </c>
      <c r="N87" s="67">
        <v>1.5</v>
      </c>
    </row>
    <row r="88" spans="1:14" ht="18.75" x14ac:dyDescent="0.3">
      <c r="A88" s="41">
        <v>87</v>
      </c>
      <c r="B88" s="46" t="s">
        <v>114</v>
      </c>
      <c r="C88" s="36" t="s">
        <v>18</v>
      </c>
      <c r="D88" s="63">
        <f>35*F6/100</f>
        <v>346.83296200000007</v>
      </c>
      <c r="E88" s="37">
        <f>M88*N88</f>
        <v>2200</v>
      </c>
      <c r="F88" s="39">
        <f>D88*E88</f>
        <v>763032.5164000002</v>
      </c>
      <c r="M88" s="37">
        <v>2000</v>
      </c>
      <c r="N88" s="67">
        <v>1.1000000000000001</v>
      </c>
    </row>
    <row r="89" spans="1:14" ht="15.75" x14ac:dyDescent="0.25">
      <c r="A89" s="41">
        <v>88</v>
      </c>
      <c r="B89" s="46" t="s">
        <v>61</v>
      </c>
      <c r="C89" s="47"/>
      <c r="D89" s="47"/>
      <c r="E89" s="37"/>
      <c r="F89" s="49">
        <f>SUM(F90:F105)</f>
        <v>3748525</v>
      </c>
      <c r="G89" s="57"/>
      <c r="H89" s="57"/>
      <c r="M89" s="48"/>
      <c r="N89" s="67">
        <v>1.1000000000000001</v>
      </c>
    </row>
    <row r="90" spans="1:14" x14ac:dyDescent="0.25">
      <c r="A90" s="41">
        <v>89</v>
      </c>
      <c r="B90" s="50" t="s">
        <v>41</v>
      </c>
      <c r="C90" s="51" t="s">
        <v>12</v>
      </c>
      <c r="D90" s="51">
        <v>8</v>
      </c>
      <c r="E90" s="10">
        <f>M90*N90</f>
        <v>5500</v>
      </c>
      <c r="F90" s="53">
        <f>D90*E90</f>
        <v>44000</v>
      </c>
      <c r="M90" s="52">
        <v>5000</v>
      </c>
      <c r="N90" s="67">
        <v>1.1000000000000001</v>
      </c>
    </row>
    <row r="91" spans="1:14" x14ac:dyDescent="0.25">
      <c r="A91" s="41">
        <v>90</v>
      </c>
      <c r="B91" s="50" t="s">
        <v>76</v>
      </c>
      <c r="C91" s="51" t="s">
        <v>12</v>
      </c>
      <c r="D91" s="51">
        <v>7</v>
      </c>
      <c r="E91" s="10">
        <f>M91*N91</f>
        <v>4400</v>
      </c>
      <c r="F91" s="53">
        <f t="shared" ref="F91:F105" si="11">D91*E91</f>
        <v>30800</v>
      </c>
      <c r="M91" s="52">
        <v>4000</v>
      </c>
      <c r="N91" s="67">
        <v>1.1000000000000001</v>
      </c>
    </row>
    <row r="92" spans="1:14" x14ac:dyDescent="0.25">
      <c r="A92" s="41">
        <v>91</v>
      </c>
      <c r="B92" s="70" t="s">
        <v>108</v>
      </c>
      <c r="C92" s="51" t="s">
        <v>12</v>
      </c>
      <c r="D92" s="51">
        <v>2</v>
      </c>
      <c r="E92" s="10">
        <f>M92*N92</f>
        <v>6600.0000000000009</v>
      </c>
      <c r="F92" s="53">
        <f t="shared" si="11"/>
        <v>13200.000000000002</v>
      </c>
      <c r="G92" s="57"/>
      <c r="H92" s="57"/>
      <c r="M92" s="52">
        <v>6000</v>
      </c>
      <c r="N92" s="67">
        <v>1.1000000000000001</v>
      </c>
    </row>
    <row r="93" spans="1:14" x14ac:dyDescent="0.25">
      <c r="A93" s="41">
        <v>92</v>
      </c>
      <c r="B93" s="50" t="s">
        <v>116</v>
      </c>
      <c r="C93" s="51" t="s">
        <v>12</v>
      </c>
      <c r="D93" s="64">
        <v>62</v>
      </c>
      <c r="E93" s="10">
        <f>M93*N93</f>
        <v>3520.0000000000005</v>
      </c>
      <c r="F93" s="53">
        <f t="shared" si="11"/>
        <v>218240.00000000003</v>
      </c>
      <c r="G93" s="57"/>
      <c r="M93" s="52">
        <v>3200</v>
      </c>
      <c r="N93" s="67">
        <v>1.1000000000000001</v>
      </c>
    </row>
    <row r="94" spans="1:14" x14ac:dyDescent="0.25">
      <c r="A94" s="41">
        <v>93</v>
      </c>
      <c r="B94" s="50" t="s">
        <v>77</v>
      </c>
      <c r="C94" s="51" t="s">
        <v>12</v>
      </c>
      <c r="D94" s="51">
        <v>2</v>
      </c>
      <c r="E94" s="10">
        <f>M94*N94</f>
        <v>8250</v>
      </c>
      <c r="F94" s="53">
        <f t="shared" si="11"/>
        <v>16500</v>
      </c>
      <c r="M94" s="52">
        <v>7500</v>
      </c>
      <c r="N94" s="67">
        <v>1.1000000000000001</v>
      </c>
    </row>
    <row r="95" spans="1:14" x14ac:dyDescent="0.25">
      <c r="A95" s="41">
        <v>94</v>
      </c>
      <c r="B95" s="50" t="s">
        <v>122</v>
      </c>
      <c r="C95" s="51" t="s">
        <v>12</v>
      </c>
      <c r="D95" s="51">
        <v>48</v>
      </c>
      <c r="E95" s="10">
        <f>M95*N95</f>
        <v>14850.000000000002</v>
      </c>
      <c r="F95" s="53">
        <f t="shared" si="11"/>
        <v>712800.00000000012</v>
      </c>
      <c r="M95" s="52">
        <v>13500</v>
      </c>
      <c r="N95" s="67">
        <v>1.1000000000000001</v>
      </c>
    </row>
    <row r="96" spans="1:14" x14ac:dyDescent="0.25">
      <c r="A96" s="41">
        <v>95</v>
      </c>
      <c r="B96" s="50" t="s">
        <v>120</v>
      </c>
      <c r="C96" s="51" t="s">
        <v>12</v>
      </c>
      <c r="D96" s="51">
        <v>48</v>
      </c>
      <c r="E96" s="10">
        <f>M96*N96</f>
        <v>3190.0000000000005</v>
      </c>
      <c r="F96" s="53">
        <f t="shared" si="11"/>
        <v>153120.00000000003</v>
      </c>
      <c r="M96" s="52">
        <v>2900</v>
      </c>
      <c r="N96" s="67">
        <v>1.1000000000000001</v>
      </c>
    </row>
    <row r="97" spans="1:14" x14ac:dyDescent="0.25">
      <c r="A97" s="41">
        <v>96</v>
      </c>
      <c r="B97" s="50" t="s">
        <v>121</v>
      </c>
      <c r="C97" s="51" t="s">
        <v>12</v>
      </c>
      <c r="D97" s="51">
        <v>48</v>
      </c>
      <c r="E97" s="10">
        <f>M97*N97</f>
        <v>330</v>
      </c>
      <c r="F97" s="53">
        <f t="shared" si="11"/>
        <v>15840</v>
      </c>
      <c r="M97" s="52">
        <v>300</v>
      </c>
      <c r="N97" s="67">
        <v>1.1000000000000001</v>
      </c>
    </row>
    <row r="98" spans="1:14" x14ac:dyDescent="0.25">
      <c r="A98" s="41">
        <v>97</v>
      </c>
      <c r="B98" s="50" t="s">
        <v>109</v>
      </c>
      <c r="C98" s="51" t="s">
        <v>12</v>
      </c>
      <c r="D98" s="51">
        <v>1</v>
      </c>
      <c r="E98" s="10">
        <f>M98*N98</f>
        <v>19250</v>
      </c>
      <c r="F98" s="53">
        <f t="shared" si="11"/>
        <v>19250</v>
      </c>
      <c r="M98" s="52">
        <v>17500</v>
      </c>
      <c r="N98" s="67">
        <v>1.1000000000000001</v>
      </c>
    </row>
    <row r="99" spans="1:14" x14ac:dyDescent="0.25">
      <c r="A99" s="41">
        <v>98</v>
      </c>
      <c r="B99" s="50" t="s">
        <v>110</v>
      </c>
      <c r="C99" s="51" t="s">
        <v>12</v>
      </c>
      <c r="D99" s="51">
        <v>1</v>
      </c>
      <c r="E99" s="10">
        <f>M99*N99</f>
        <v>42350</v>
      </c>
      <c r="F99" s="65">
        <f t="shared" si="11"/>
        <v>42350</v>
      </c>
      <c r="M99" s="52">
        <v>38500</v>
      </c>
      <c r="N99" s="67">
        <v>1.1000000000000001</v>
      </c>
    </row>
    <row r="100" spans="1:14" x14ac:dyDescent="0.25">
      <c r="A100" s="41">
        <v>99</v>
      </c>
      <c r="B100" s="50" t="s">
        <v>119</v>
      </c>
      <c r="C100" s="51" t="s">
        <v>12</v>
      </c>
      <c r="D100" s="51">
        <v>1</v>
      </c>
      <c r="E100" s="10">
        <f>M100*N100</f>
        <v>385000.00000000006</v>
      </c>
      <c r="F100" s="65">
        <f t="shared" si="11"/>
        <v>385000.00000000006</v>
      </c>
      <c r="M100" s="52">
        <v>350000</v>
      </c>
      <c r="N100" s="67">
        <v>1.1000000000000001</v>
      </c>
    </row>
    <row r="101" spans="1:14" x14ac:dyDescent="0.25">
      <c r="A101" s="41">
        <v>100</v>
      </c>
      <c r="B101" s="50" t="s">
        <v>111</v>
      </c>
      <c r="C101" s="51" t="s">
        <v>12</v>
      </c>
      <c r="D101" s="51">
        <v>1</v>
      </c>
      <c r="E101" s="10">
        <f>M101*N101</f>
        <v>4675</v>
      </c>
      <c r="F101" s="65">
        <f>D101*E101</f>
        <v>4675</v>
      </c>
      <c r="M101" s="52">
        <v>4250</v>
      </c>
      <c r="N101" s="67">
        <v>1.1000000000000001</v>
      </c>
    </row>
    <row r="102" spans="1:14" x14ac:dyDescent="0.25">
      <c r="A102" s="41">
        <v>101</v>
      </c>
      <c r="B102" s="50" t="s">
        <v>112</v>
      </c>
      <c r="C102" s="51" t="s">
        <v>12</v>
      </c>
      <c r="D102" s="51">
        <v>1</v>
      </c>
      <c r="E102" s="10">
        <f>M102*N102</f>
        <v>14850.000000000002</v>
      </c>
      <c r="F102" s="65">
        <f>D102*E102</f>
        <v>14850.000000000002</v>
      </c>
      <c r="M102" s="52">
        <v>13500</v>
      </c>
      <c r="N102" s="67">
        <v>1.1000000000000001</v>
      </c>
    </row>
    <row r="103" spans="1:14" x14ac:dyDescent="0.25">
      <c r="A103" s="41">
        <v>102</v>
      </c>
      <c r="B103" s="50" t="s">
        <v>113</v>
      </c>
      <c r="C103" s="51" t="s">
        <v>12</v>
      </c>
      <c r="D103" s="51">
        <v>4</v>
      </c>
      <c r="E103" s="10">
        <f>M103*N103</f>
        <v>96800.000000000015</v>
      </c>
      <c r="F103" s="53">
        <f>D103*E103</f>
        <v>387200.00000000006</v>
      </c>
      <c r="M103" s="52">
        <v>88000</v>
      </c>
      <c r="N103" s="67">
        <v>1.1000000000000001</v>
      </c>
    </row>
    <row r="104" spans="1:14" x14ac:dyDescent="0.25">
      <c r="A104" s="41">
        <v>103</v>
      </c>
      <c r="B104" s="50" t="s">
        <v>78</v>
      </c>
      <c r="C104" s="51" t="s">
        <v>12</v>
      </c>
      <c r="D104" s="51">
        <v>1</v>
      </c>
      <c r="E104" s="10">
        <f>M104*N104</f>
        <v>40700</v>
      </c>
      <c r="F104" s="65">
        <f t="shared" si="11"/>
        <v>40700</v>
      </c>
      <c r="M104" s="52">
        <v>37000</v>
      </c>
      <c r="N104" s="67">
        <v>1.1000000000000001</v>
      </c>
    </row>
    <row r="105" spans="1:14" ht="45" x14ac:dyDescent="0.25">
      <c r="A105" s="41">
        <v>104</v>
      </c>
      <c r="B105" s="68" t="s">
        <v>123</v>
      </c>
      <c r="C105" s="51" t="s">
        <v>12</v>
      </c>
      <c r="D105" s="69">
        <v>2</v>
      </c>
      <c r="E105" s="72">
        <f>M105*N105</f>
        <v>825000.00000000012</v>
      </c>
      <c r="F105" s="65">
        <f t="shared" si="11"/>
        <v>1650000.0000000002</v>
      </c>
      <c r="M105" s="52">
        <v>750000</v>
      </c>
      <c r="N105" s="67">
        <v>1.1000000000000001</v>
      </c>
    </row>
    <row r="106" spans="1:14" ht="46.5" x14ac:dyDescent="0.25">
      <c r="A106" s="41">
        <v>105</v>
      </c>
      <c r="B106" s="16" t="s">
        <v>5</v>
      </c>
      <c r="C106" s="17"/>
      <c r="D106" s="17"/>
      <c r="E106" s="18"/>
      <c r="F106" s="40">
        <f>F75+F85+F87+F88+F86+F89</f>
        <v>22356953.317748871</v>
      </c>
      <c r="G106" s="57"/>
    </row>
    <row r="107" spans="1:14" ht="18.75" x14ac:dyDescent="0.3">
      <c r="A107" s="41">
        <v>86</v>
      </c>
      <c r="B107" s="46" t="s">
        <v>127</v>
      </c>
      <c r="C107" s="36" t="s">
        <v>57</v>
      </c>
      <c r="D107" s="36"/>
      <c r="E107" s="36">
        <v>10</v>
      </c>
      <c r="F107" s="39">
        <f>(F106)*E107%</f>
        <v>2235695.3317748872</v>
      </c>
    </row>
    <row r="108" spans="1:14" ht="46.5" x14ac:dyDescent="0.25">
      <c r="A108" s="41">
        <v>107</v>
      </c>
      <c r="B108" s="16" t="s">
        <v>126</v>
      </c>
      <c r="C108" s="17"/>
      <c r="D108" s="17"/>
      <c r="E108" s="18"/>
      <c r="F108" s="40">
        <f>F106+F107</f>
        <v>24592648.649523757</v>
      </c>
    </row>
    <row r="109" spans="1:14" x14ac:dyDescent="0.25">
      <c r="A109" s="41">
        <v>106</v>
      </c>
      <c r="B109" s="43" t="s">
        <v>24</v>
      </c>
      <c r="C109" s="71">
        <v>12</v>
      </c>
      <c r="D109" s="77" t="s">
        <v>35</v>
      </c>
      <c r="E109" s="77"/>
      <c r="F109" s="44">
        <f>F108/F6</f>
        <v>24817.211656293828</v>
      </c>
    </row>
    <row r="110" spans="1:14" x14ac:dyDescent="0.25">
      <c r="A110" s="67"/>
      <c r="C110" s="67"/>
      <c r="D110" s="67"/>
      <c r="F110" s="1"/>
    </row>
  </sheetData>
  <mergeCells count="9">
    <mergeCell ref="C6:D6"/>
    <mergeCell ref="C7:F7"/>
    <mergeCell ref="D109:E109"/>
    <mergeCell ref="A1:B1"/>
    <mergeCell ref="C1:F1"/>
    <mergeCell ref="C2:F2"/>
    <mergeCell ref="C3:F3"/>
    <mergeCell ref="C4:F4"/>
    <mergeCell ref="C5:F5"/>
  </mergeCells>
  <dataValidations count="6">
    <dataValidation type="list" allowBlank="1" showInputMessage="1" showErrorMessage="1" sqref="B28:B39">
      <formula1>кровля</formula1>
    </dataValidation>
    <dataValidation type="list" allowBlank="1" showInputMessage="1" showErrorMessage="1" sqref="B18:B25">
      <formula1>наружныестены</formula1>
    </dataValidation>
    <dataValidation type="list" allowBlank="1" showInputMessage="1" showErrorMessage="1" sqref="B58:B62 B64:B65">
      <formula1>отделка</formula1>
    </dataValidation>
    <dataValidation type="list" allowBlank="1" showInputMessage="1" showErrorMessage="1" sqref="B67">
      <formula1>прочие</formula1>
    </dataValidation>
    <dataValidation type="list" allowBlank="1" showInputMessage="1" showErrorMessage="1" sqref="B68">
      <formula1>лестницы</formula1>
    </dataValidation>
    <dataValidation type="list" allowBlank="1" showInputMessage="1" showErrorMessage="1" sqref="B14:B15">
      <formula1>Фундаменты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Себестоимость</vt:lpstr>
      <vt:lpstr>Рыночная стоимость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2014-09-09T06:04:16Z</dcterms:modified>
</cp:coreProperties>
</file>