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95" yWindow="75" windowWidth="15600" windowHeight="127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кровля">[1]Кровля!$A$1:$A$60</definedName>
    <definedName name="лестницы">'[1]Лестницы, крыльца'!$A$1:$A$55</definedName>
    <definedName name="наружныестены">'[1]Наружные стены и модули'!$A$1:$A$101</definedName>
    <definedName name="отделка">[1]Отделка!$A$1:$A$72</definedName>
    <definedName name="прочие">[1]Прочие!$A$1:$A$34</definedName>
    <definedName name="Фундаменты">[1]Фундаменты!$A$1:$A$56</definedName>
  </definedNames>
  <calcPr calcId="145621"/>
</workbook>
</file>

<file path=xl/calcChain.xml><?xml version="1.0" encoding="utf-8"?>
<calcChain xmlns="http://schemas.openxmlformats.org/spreadsheetml/2006/main">
  <c r="F120" i="1" l="1"/>
  <c r="F119" i="1"/>
  <c r="F118" i="1"/>
  <c r="F117" i="1"/>
  <c r="F116" i="1"/>
  <c r="F115" i="1"/>
  <c r="F110" i="1"/>
  <c r="F113" i="1"/>
  <c r="F112" i="1"/>
  <c r="F111" i="1"/>
  <c r="E82" i="1"/>
  <c r="F107" i="1"/>
  <c r="F105" i="1"/>
  <c r="F109" i="1"/>
  <c r="D37" i="1"/>
  <c r="D38" i="1" s="1"/>
  <c r="F38" i="1" s="1"/>
  <c r="D59" i="1"/>
  <c r="D62" i="1"/>
  <c r="D60" i="1"/>
  <c r="D54" i="1"/>
  <c r="D49" i="1"/>
  <c r="D45" i="1"/>
  <c r="E21" i="1"/>
  <c r="E20" i="1"/>
  <c r="F6" i="1"/>
  <c r="D86" i="1" s="1"/>
  <c r="F37" i="1" l="1"/>
  <c r="D46" i="1"/>
  <c r="F45" i="1"/>
  <c r="F44" i="1"/>
  <c r="F91" i="1"/>
  <c r="F90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89" i="1"/>
  <c r="F88" i="1"/>
  <c r="D66" i="1"/>
  <c r="F60" i="1"/>
  <c r="C60" i="1"/>
  <c r="C61" i="1"/>
  <c r="D61" i="1" l="1"/>
  <c r="F61" i="1" s="1"/>
  <c r="D24" i="1" l="1"/>
  <c r="F114" i="1" l="1"/>
  <c r="F108" i="1"/>
  <c r="F84" i="1"/>
  <c r="E80" i="1"/>
  <c r="E78" i="1"/>
  <c r="E76" i="1"/>
  <c r="E74" i="1"/>
  <c r="C66" i="1"/>
  <c r="C64" i="1"/>
  <c r="C62" i="1"/>
  <c r="F54" i="1"/>
  <c r="F21" i="1"/>
  <c r="F20" i="1"/>
  <c r="F87" i="1" l="1"/>
  <c r="D63" i="1"/>
  <c r="D67" i="1"/>
  <c r="F67" i="1" s="1"/>
  <c r="F66" i="1"/>
  <c r="F62" i="1"/>
  <c r="D64" i="1"/>
  <c r="F64" i="1" s="1"/>
  <c r="D56" i="1"/>
  <c r="F56" i="1" s="1"/>
  <c r="D55" i="1"/>
  <c r="F55" i="1" s="1"/>
  <c r="F63" i="1" l="1"/>
  <c r="D58" i="1"/>
  <c r="F58" i="1" s="1"/>
  <c r="F59" i="1" l="1"/>
  <c r="D14" i="1"/>
  <c r="D73" i="1" l="1"/>
  <c r="F68" i="1"/>
  <c r="D12" i="1" l="1"/>
  <c r="D35" i="1" l="1"/>
  <c r="D50" i="1" l="1"/>
  <c r="F86" i="1"/>
  <c r="F73" i="1"/>
  <c r="D39" i="1"/>
  <c r="D28" i="1"/>
  <c r="C39" i="1"/>
  <c r="C36" i="1"/>
  <c r="C35" i="1"/>
  <c r="D34" i="1"/>
  <c r="F34" i="1" s="1"/>
  <c r="F33" i="1"/>
  <c r="C33" i="1"/>
  <c r="D32" i="1"/>
  <c r="C32" i="1"/>
  <c r="F31" i="1"/>
  <c r="C31" i="1"/>
  <c r="E30" i="1"/>
  <c r="C30" i="1"/>
  <c r="C29" i="1"/>
  <c r="C28" i="1"/>
  <c r="F27" i="1"/>
  <c r="C26" i="1"/>
  <c r="C24" i="1"/>
  <c r="F19" i="1"/>
  <c r="C15" i="1"/>
  <c r="D29" i="1" l="1"/>
  <c r="F29" i="1" s="1"/>
  <c r="D74" i="1"/>
  <c r="F32" i="1"/>
  <c r="F30" i="1"/>
  <c r="D15" i="1"/>
  <c r="F28" i="1"/>
  <c r="F35" i="1"/>
  <c r="D36" i="1"/>
  <c r="F36" i="1" s="1"/>
  <c r="F39" i="1"/>
  <c r="F24" i="1"/>
  <c r="F25" i="1"/>
  <c r="D26" i="1"/>
  <c r="F26" i="1" s="1"/>
  <c r="F18" i="1"/>
  <c r="F22" i="1" s="1"/>
  <c r="D13" i="1"/>
  <c r="F16" i="1" l="1"/>
  <c r="D75" i="1"/>
  <c r="F74" i="1"/>
  <c r="D76" i="1" l="1"/>
  <c r="F75" i="1"/>
  <c r="D77" i="1" l="1"/>
  <c r="F76" i="1"/>
  <c r="C1" i="1"/>
  <c r="F77" i="1" l="1"/>
  <c r="D78" i="1"/>
  <c r="F46" i="1"/>
  <c r="F50" i="1"/>
  <c r="D79" i="1" l="1"/>
  <c r="F78" i="1"/>
  <c r="F42" i="1"/>
  <c r="F43" i="1"/>
  <c r="F47" i="1" l="1"/>
  <c r="F79" i="1"/>
  <c r="D80" i="1"/>
  <c r="D81" i="1" s="1"/>
  <c r="F81" i="1" l="1"/>
  <c r="D82" i="1"/>
  <c r="F82" i="1" s="1"/>
  <c r="F80" i="1"/>
  <c r="F83" i="1" s="1"/>
  <c r="F49" i="1"/>
  <c r="F51" i="1" s="1"/>
  <c r="A1" i="1" l="1"/>
  <c r="F40" i="1" l="1"/>
  <c r="F69" i="1" s="1"/>
  <c r="F70" i="1" l="1"/>
  <c r="F71" i="1" s="1"/>
  <c r="F85" i="1" l="1"/>
  <c r="F121" i="1" l="1"/>
  <c r="G121" i="1" s="1"/>
  <c r="F122" i="1" l="1"/>
</calcChain>
</file>

<file path=xl/sharedStrings.xml><?xml version="1.0" encoding="utf-8"?>
<sst xmlns="http://schemas.openxmlformats.org/spreadsheetml/2006/main" count="211" uniqueCount="136">
  <si>
    <t>Заказчик:</t>
  </si>
  <si>
    <t>Место строительства:</t>
  </si>
  <si>
    <t>Наименование объекта:</t>
  </si>
  <si>
    <t>Примечания:</t>
  </si>
  <si>
    <t>ИТОГО по разделу:</t>
  </si>
  <si>
    <t>Себестоимость всего комплекса строительства:</t>
  </si>
  <si>
    <t>Наименование раздела/работ:</t>
  </si>
  <si>
    <t>Количество</t>
  </si>
  <si>
    <t>Единица измерения</t>
  </si>
  <si>
    <t xml:space="preserve">Цена за единицу </t>
  </si>
  <si>
    <t xml:space="preserve">Стоимость </t>
  </si>
  <si>
    <t>т</t>
  </si>
  <si>
    <t>м2</t>
  </si>
  <si>
    <t>шт</t>
  </si>
  <si>
    <t>ИТОГО</t>
  </si>
  <si>
    <t>Сэндвич-панели 100 мм</t>
  </si>
  <si>
    <t>Двери внутренние стандартные</t>
  </si>
  <si>
    <t>Дверь входная стандарт металлическая</t>
  </si>
  <si>
    <t>Монтаж сп</t>
  </si>
  <si>
    <t>маш/час</t>
  </si>
  <si>
    <t>ИТОГО общестроительные работы</t>
  </si>
  <si>
    <t>Электрика (монтаж)</t>
  </si>
  <si>
    <t>Раздел 2. Модули</t>
  </si>
  <si>
    <t>Раздел 4. Кровля</t>
  </si>
  <si>
    <t xml:space="preserve">Раздел 6. Внутренние перегородки </t>
  </si>
  <si>
    <t>КОЛИЧЕСТВО МАШИН НА ДОСТАВКУ:</t>
  </si>
  <si>
    <t xml:space="preserve">Монтаж дверей </t>
  </si>
  <si>
    <t>Разметка и вынос осей</t>
  </si>
  <si>
    <t>чел/час</t>
  </si>
  <si>
    <t>Буроям</t>
  </si>
  <si>
    <t>Монтаж свай винтовых</t>
  </si>
  <si>
    <t xml:space="preserve">ПОЛ </t>
  </si>
  <si>
    <t>Водоснабжение, канализация</t>
  </si>
  <si>
    <t>Раздел 1. Фундамент</t>
  </si>
  <si>
    <t>СТЕНЫ</t>
  </si>
  <si>
    <t>Раздел 5. Проемы (стандартные окна включены в стоимость)</t>
  </si>
  <si>
    <t>ПОТОЛОК</t>
  </si>
  <si>
    <t>Раздел 7. Отделочные работы</t>
  </si>
  <si>
    <t>Электрика  (материалы)</t>
  </si>
  <si>
    <t>АПС (материалы)</t>
  </si>
  <si>
    <t>АПС (монтаж)</t>
  </si>
  <si>
    <t>Цена за м2:</t>
  </si>
  <si>
    <t xml:space="preserve">Линолеум </t>
  </si>
  <si>
    <t>Общая площадь, м2:</t>
  </si>
  <si>
    <t>Толщина сэндвич-панелей (стены/потолок/пол), мм:</t>
  </si>
  <si>
    <t>Водоснабжение, канализация (материалы)</t>
  </si>
  <si>
    <t>Унитаз</t>
  </si>
  <si>
    <t>Монтаж металлоконструкций обвязки оголовков свай</t>
  </si>
  <si>
    <t>Металлоконструкции обвязки оголовков свай из швеллера 20П</t>
  </si>
  <si>
    <t>Сборка СРМ</t>
  </si>
  <si>
    <t>Монтаж первого этажа здания</t>
  </si>
  <si>
    <t>к-т</t>
  </si>
  <si>
    <t>Конструкции металлические ферм</t>
  </si>
  <si>
    <t>Пиломатериал, доска</t>
  </si>
  <si>
    <t>Водосток в комплекте с желобами, трубами, крепежом, отводами</t>
  </si>
  <si>
    <t>м</t>
  </si>
  <si>
    <t>Монтаж металлоконструкций</t>
  </si>
  <si>
    <t>Монтаж кровли (двухскатная)</t>
  </si>
  <si>
    <t>Устройство водостока</t>
  </si>
  <si>
    <t>Установка водосточных воронок</t>
  </si>
  <si>
    <t>Воронка водосточная</t>
  </si>
  <si>
    <t>Монтаж конькового нащельника</t>
  </si>
  <si>
    <t>Коньковая планка</t>
  </si>
  <si>
    <t>Подшиф свеса перфорированной планкой</t>
  </si>
  <si>
    <t>Перфорированная планка Софит Snow Bird</t>
  </si>
  <si>
    <t>Крепеж, доборные, пена и тд</t>
  </si>
  <si>
    <t>%</t>
  </si>
  <si>
    <t>Раздел 11. Проектные работы</t>
  </si>
  <si>
    <t>Раздел 12. Накладные расходы</t>
  </si>
  <si>
    <t>Раздел 13. Аренда автокрана</t>
  </si>
  <si>
    <t>Винтовые сваи диам.76мм L=2,5м.</t>
  </si>
  <si>
    <t xml:space="preserve">Раздел 9. Инженерные сети </t>
  </si>
  <si>
    <t>Внутренняя высота:</t>
  </si>
  <si>
    <t xml:space="preserve">Панели ПВХ </t>
  </si>
  <si>
    <t>Подсистема под ПВХ панели</t>
  </si>
  <si>
    <t>Монтаж панелей</t>
  </si>
  <si>
    <t>Укладка линолеума</t>
  </si>
  <si>
    <t>Монтаж стального покрытия</t>
  </si>
  <si>
    <t>Металлический рифленый лист 3 мм</t>
  </si>
  <si>
    <t>Укладка кафеля на пол</t>
  </si>
  <si>
    <t>Кафель</t>
  </si>
  <si>
    <t>Клей для кафеля и керамогранита</t>
  </si>
  <si>
    <t>Монтаж облицовки потолков</t>
  </si>
  <si>
    <t>Панели ПВХ с комплектующими (для помещений с влажным режимом)</t>
  </si>
  <si>
    <t>санузлы, душевые</t>
  </si>
  <si>
    <t>санузлы, душевые, лестн.клетка</t>
  </si>
  <si>
    <t>Узел учёта холодной воды</t>
  </si>
  <si>
    <t>ООО "ДЦВ"</t>
  </si>
  <si>
    <t>МЗ, Здание для пожарного поезда</t>
  </si>
  <si>
    <t>г. Омск, ст. Инская</t>
  </si>
  <si>
    <t>150/200/200</t>
  </si>
  <si>
    <t>Модуль без 1 длиннойстороны, 6,229х2,434м, 150/200/200</t>
  </si>
  <si>
    <t>Модуль без 2 длинных сторон, 6,229х2,434м, 150/200/200</t>
  </si>
  <si>
    <t>тамбур</t>
  </si>
  <si>
    <t>Раздел 14. Дополнительная комплектация:</t>
  </si>
  <si>
    <t>Стол письменный 1200х600мм</t>
  </si>
  <si>
    <t>Стул ИЗО</t>
  </si>
  <si>
    <t>Кресло для руководителя</t>
  </si>
  <si>
    <t>Стеллаж для документов открытый 800х400мм</t>
  </si>
  <si>
    <t>Шкаф металлический гардеробный 600х500мм</t>
  </si>
  <si>
    <t>Шкаф сушильный</t>
  </si>
  <si>
    <t>Кровать одноярусная</t>
  </si>
  <si>
    <t>Тумба прикроватная</t>
  </si>
  <si>
    <t>Стол обеденный 1200х600мм</t>
  </si>
  <si>
    <t>Табурет металлический с мягким сиденьем</t>
  </si>
  <si>
    <t>Душевой уголок квадратный со смесителем</t>
  </si>
  <si>
    <t>Умывальник-тумба со смесителем</t>
  </si>
  <si>
    <t>Тумба кухонная с мойкой (нерж)</t>
  </si>
  <si>
    <t>Холодильник "Бирюса 6"</t>
  </si>
  <si>
    <t>Канальный вентилятор</t>
  </si>
  <si>
    <t>Дополнительные окна</t>
  </si>
  <si>
    <t>Монтаж дополнительных окон</t>
  </si>
  <si>
    <t>Неучтенные работы и материалы (около 1 %)</t>
  </si>
  <si>
    <t>Материал на окна "Слухова"</t>
  </si>
  <si>
    <t>Монтаж окон слухова</t>
  </si>
  <si>
    <t>Профлист С44-0,7</t>
  </si>
  <si>
    <t>без фундамента, без отмостки и без наружных  инж.сетей</t>
  </si>
  <si>
    <t>Водонагреватель Thermex Flat Plus IF 80V</t>
  </si>
  <si>
    <t>Кондиционер Daikin FTYN35L / RYN35L (внутренний блок +внешний блок)</t>
  </si>
  <si>
    <t>Электроконвектор 0,5 кВт</t>
  </si>
  <si>
    <t>Электроконвектор 1 кВт</t>
  </si>
  <si>
    <t>Полотенцесушитель Zigzag (Россия) H ultra 100х50</t>
  </si>
  <si>
    <t xml:space="preserve">Вентиляция и кондиционирование (материалы) </t>
  </si>
  <si>
    <t>Вентиляция и кондиционирование (монтаж)</t>
  </si>
  <si>
    <t>Сети связи (материал)</t>
  </si>
  <si>
    <t>Сети связи (монтаж)</t>
  </si>
  <si>
    <t>Печь микроволовая</t>
  </si>
  <si>
    <t>Электрочайник 2,2кВт</t>
  </si>
  <si>
    <t>Огнетушитель углекислотный ОУ-5</t>
  </si>
  <si>
    <t>Компьютер Pentium IV</t>
  </si>
  <si>
    <t>Светодиодный светильник 12Вт ССБ10-6М</t>
  </si>
  <si>
    <t>Светильник светодиодный ARCTIC LED 1200 EM 60w накладной IP65 SAN/SMC</t>
  </si>
  <si>
    <t>Светильник 18Вт OPL/S ECO LED 300</t>
  </si>
  <si>
    <t xml:space="preserve">Светильник 36ВтOPL/S ECO LED 1200 </t>
  </si>
  <si>
    <t>Светильник 32Вт OPL/S uni LED 600</t>
  </si>
  <si>
    <t>Светодиодный светильник 12Вт OD LED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</si>
</sst>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5" fillId="2" borderId="1" xfId="1" applyFont="1" applyFill="1" applyBorder="1" applyAlignment="1">
      <alignment wrapText="1"/>
    </xf>
    <xf numFmtId="44" fontId="2" fillId="2" borderId="1" xfId="1" applyFont="1" applyFill="1" applyBorder="1" applyAlignment="1">
      <alignment horizontal="center" wrapText="1"/>
    </xf>
    <xf numFmtId="44" fontId="0" fillId="2" borderId="1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4" fillId="0" borderId="2" xfId="0" applyFont="1" applyBorder="1" applyAlignment="1" applyProtection="1"/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12" fillId="2" borderId="1" xfId="1" applyFont="1" applyFill="1" applyBorder="1" applyAlignment="1">
      <alignment horizontal="center" wrapText="1"/>
    </xf>
    <xf numFmtId="0" fontId="14" fillId="0" borderId="2" xfId="0" applyFont="1" applyBorder="1" applyAlignment="1" applyProtection="1">
      <alignment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4" fontId="5" fillId="4" borderId="1" xfId="1" applyFont="1" applyFill="1" applyBorder="1" applyAlignment="1">
      <alignment wrapText="1"/>
    </xf>
    <xf numFmtId="44" fontId="12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44" fontId="3" fillId="4" borderId="1" xfId="1" applyFont="1" applyFill="1" applyBorder="1" applyAlignment="1">
      <alignment horizontal="right" wrapText="1"/>
    </xf>
    <xf numFmtId="44" fontId="12" fillId="4" borderId="1" xfId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44" fontId="9" fillId="4" borderId="1" xfId="1" applyFont="1" applyFill="1" applyBorder="1" applyAlignment="1">
      <alignment horizontal="right" wrapText="1"/>
    </xf>
    <xf numFmtId="44" fontId="15" fillId="4" borderId="1" xfId="1" applyFon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44" fontId="0" fillId="4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44" fontId="16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2" xfId="0" applyFont="1" applyBorder="1" applyAlignment="1"/>
    <xf numFmtId="44" fontId="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4" fontId="0" fillId="4" borderId="1" xfId="1" applyFont="1" applyFill="1" applyBorder="1" applyAlignment="1">
      <alignment vertical="center" wrapText="1"/>
    </xf>
    <xf numFmtId="44" fontId="12" fillId="4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4" fontId="1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4" fontId="0" fillId="2" borderId="0" xfId="1" applyFont="1" applyFill="1" applyBorder="1" applyAlignment="1">
      <alignment vertical="center" wrapText="1"/>
    </xf>
    <xf numFmtId="44" fontId="2" fillId="0" borderId="0" xfId="0" applyNumberFormat="1" applyFont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52;&#1047;%20220&#1095;&#1077;&#1083;%20&#1074;%20&#1075;.&#1040;&#1088;&#1093;&#1072;&#1085;&#1075;&#1077;&#1083;&#1100;&#1089;&#1082;,%20&#1071;&#1084;&#1072;&#1083;%20&#1057;&#1055;&#1043;/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86;&#1074;&#1086;&#1097;&#1077;&#1093;&#1088;&#1072;&#1085;&#1080;&#1083;&#1080;&#1097;&#1077;%20&#1074;%20&#1061;&#1052;&#1040;&#1054;/&#1057;&#1084;&#1077;&#1090;&#1072;%20&#1085;&#1072;%20&#1086;&#1074;&#1086;&#1097;&#1077;&#1093;&#1088;&#1072;&#1085;&#1080;&#1083;&#1080;&#1097;&#1077;%20&#1074;%20&#1061;&#1052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Кровля'!$A$1:$C$60" sheetId="6"/>
      <definedName name="Прайс" refersTo="='Отделка'!$A$1:$C$72" sheetId="11"/>
      <definedName name="Прайс" refersTo="='Фундаменты'!$A$1:$C$56" sheetId="2"/>
    </defined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  <row r="45">
          <cell r="A45" t="str">
            <v>Монтаж свай винтовых</v>
          </cell>
          <cell r="B45" t="str">
            <v>шт</v>
          </cell>
          <cell r="C45">
            <v>350</v>
          </cell>
        </row>
        <row r="46">
          <cell r="A46" t="str">
            <v>Монтаж металлоконструкций обвязки огловков свай</v>
          </cell>
          <cell r="B46" t="str">
            <v>тн</v>
          </cell>
          <cell r="C46">
            <v>9000</v>
          </cell>
        </row>
        <row r="47">
          <cell r="A47" t="str">
            <v>Металлоконструкции обвязки оголовков свай из швеллера 20П</v>
          </cell>
          <cell r="B47" t="str">
            <v>тн</v>
          </cell>
          <cell r="C47">
            <v>33500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  <row r="73">
          <cell r="A73" t="str">
            <v>Сэндвич-панели б=100 мм</v>
          </cell>
        </row>
        <row r="74">
          <cell r="A74" t="str">
            <v>Сэндвич-панели б=150 мм</v>
          </cell>
        </row>
        <row r="75">
          <cell r="A75" t="str">
            <v>Сэндвич-панели б=200 мм</v>
          </cell>
        </row>
        <row r="76">
          <cell r="A76" t="str">
            <v>Тамбур 2*1,5м, 200/300/250</v>
          </cell>
        </row>
        <row r="77">
          <cell r="A77" t="str">
            <v>Тамбур 2*1,5м, 200/300/250</v>
          </cell>
        </row>
        <row r="78">
          <cell r="A78" t="str">
            <v>Тамбур 2*1,5м, б=100мм</v>
          </cell>
        </row>
        <row r="79">
          <cell r="A79" t="str">
            <v>Тамбур 2*1,5м, б=150мм</v>
          </cell>
        </row>
        <row r="80">
          <cell r="A80" t="str">
            <v>Тамбур 2*1,5м, б=200мм</v>
          </cell>
        </row>
        <row r="81">
          <cell r="A81" t="str">
            <v>Тамбур 2*1,5м, б=250мм</v>
          </cell>
        </row>
        <row r="82">
          <cell r="A82" t="str">
            <v>Тамбур 2*2м, 200/300/250</v>
          </cell>
        </row>
        <row r="83">
          <cell r="A83" t="str">
            <v>Тамбур 2*2м, 200/300/250</v>
          </cell>
        </row>
        <row r="84">
          <cell r="A84" t="str">
            <v>Тамбур 2*2м, б=100мм</v>
          </cell>
        </row>
        <row r="85">
          <cell r="A85" t="str">
            <v>Тамбур 2*2м, б=150мм</v>
          </cell>
        </row>
        <row r="86">
          <cell r="A86" t="str">
            <v>Тамбур 2*2м, б=200мм</v>
          </cell>
        </row>
        <row r="87">
          <cell r="A87" t="str">
            <v>Тамбур 2*2м, б=250мм</v>
          </cell>
        </row>
        <row r="88">
          <cell r="A88" t="str">
            <v>Цоколь</v>
          </cell>
        </row>
        <row r="89">
          <cell r="A89" t="str">
            <v>Эксплуатация автокрана</v>
          </cell>
        </row>
        <row r="90">
          <cell r="A90" t="str">
            <v xml:space="preserve">    доборный элемент 0,7*500мм</v>
          </cell>
        </row>
        <row r="91">
          <cell r="A91" t="str">
            <v>Крепеж, доборные, пена и тд</v>
          </cell>
        </row>
        <row r="92">
          <cell r="A92" t="str">
            <v>Экструдированный пенополистирол</v>
          </cell>
        </row>
        <row r="93">
          <cell r="A93" t="str">
            <v>Утепление стен</v>
          </cell>
        </row>
        <row r="94">
          <cell r="A94" t="str">
            <v>профнастил оцинкованный С21-1000-0,7, полимерно-окрашенный</v>
          </cell>
        </row>
        <row r="95">
          <cell r="A95" t="str">
            <v>Облицовка цоколя профлистом</v>
          </cell>
        </row>
        <row r="96">
          <cell r="A96" t="str">
            <v>сталь листовая б=0,55мм, полимерно-окрашенный</v>
          </cell>
        </row>
        <row r="97">
          <cell r="A97" t="str">
            <v>Облицовка цоколя полимерноокрашенным листом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  <cell r="B2">
            <v>0</v>
          </cell>
          <cell r="C2">
            <v>0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  <cell r="B24">
            <v>0</v>
          </cell>
          <cell r="C24">
            <v>0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  <cell r="B45">
            <v>0</v>
          </cell>
          <cell r="C45">
            <v>0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  <cell r="B9">
            <v>0</v>
          </cell>
          <cell r="C9">
            <v>0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zoomScale="90" zoomScaleNormal="90" workbookViewId="0">
      <pane ySplit="8" topLeftCell="A9" activePane="bottomLeft" state="frozen"/>
      <selection pane="bottomLeft" activeCell="F127" sqref="F127"/>
    </sheetView>
  </sheetViews>
  <sheetFormatPr defaultRowHeight="15" x14ac:dyDescent="0.25"/>
  <cols>
    <col min="1" max="1" width="5.85546875" style="3" customWidth="1"/>
    <col min="2" max="2" width="64" customWidth="1"/>
    <col min="3" max="3" width="15" style="2" customWidth="1"/>
    <col min="4" max="4" width="12.42578125" style="2" customWidth="1"/>
    <col min="5" max="5" width="20.85546875" customWidth="1"/>
    <col min="6" max="6" width="24.28515625" style="2" customWidth="1"/>
    <col min="7" max="7" width="15.7109375" customWidth="1"/>
    <col min="8" max="8" width="9.7109375" bestFit="1" customWidth="1"/>
  </cols>
  <sheetData>
    <row r="1" spans="1:7" ht="31.5" customHeight="1" x14ac:dyDescent="0.25">
      <c r="A1" s="69" t="str">
        <f>C2</f>
        <v>МЗ, Здание для пожарного поезда</v>
      </c>
      <c r="B1" s="69"/>
      <c r="C1" s="70" t="str">
        <f>C3</f>
        <v>ООО "ДЦВ"</v>
      </c>
      <c r="D1" s="70"/>
      <c r="E1" s="70"/>
      <c r="F1" s="70"/>
    </row>
    <row r="2" spans="1:7" x14ac:dyDescent="0.25">
      <c r="A2" s="41">
        <v>1</v>
      </c>
      <c r="B2" s="42" t="s">
        <v>2</v>
      </c>
      <c r="C2" s="71" t="s">
        <v>88</v>
      </c>
      <c r="D2" s="71"/>
      <c r="E2" s="71"/>
      <c r="F2" s="71"/>
    </row>
    <row r="3" spans="1:7" x14ac:dyDescent="0.25">
      <c r="A3" s="41">
        <v>2</v>
      </c>
      <c r="B3" s="42" t="s">
        <v>0</v>
      </c>
      <c r="C3" s="71" t="s">
        <v>87</v>
      </c>
      <c r="D3" s="71"/>
      <c r="E3" s="71"/>
      <c r="F3" s="71"/>
    </row>
    <row r="4" spans="1:7" ht="14.25" customHeight="1" x14ac:dyDescent="0.25">
      <c r="A4" s="41">
        <v>3</v>
      </c>
      <c r="B4" s="42" t="s">
        <v>1</v>
      </c>
      <c r="C4" s="73" t="s">
        <v>89</v>
      </c>
      <c r="D4" s="74"/>
      <c r="E4" s="74"/>
      <c r="F4" s="75"/>
    </row>
    <row r="5" spans="1:7" ht="15.75" customHeight="1" x14ac:dyDescent="0.25">
      <c r="A5" s="41">
        <v>4</v>
      </c>
      <c r="B5" s="42" t="s">
        <v>72</v>
      </c>
      <c r="C5" s="73">
        <v>2.5</v>
      </c>
      <c r="D5" s="74"/>
      <c r="E5" s="74"/>
      <c r="F5" s="75"/>
    </row>
    <row r="6" spans="1:7" ht="17.25" customHeight="1" x14ac:dyDescent="0.25">
      <c r="A6" s="41">
        <v>5</v>
      </c>
      <c r="B6" s="42" t="s">
        <v>44</v>
      </c>
      <c r="C6" s="71" t="s">
        <v>90</v>
      </c>
      <c r="D6" s="71"/>
      <c r="E6" s="45" t="s">
        <v>43</v>
      </c>
      <c r="F6" s="59">
        <f>18.074*6.229</f>
        <v>112.58294600000001</v>
      </c>
    </row>
    <row r="7" spans="1:7" x14ac:dyDescent="0.25">
      <c r="A7" s="41">
        <v>6</v>
      </c>
      <c r="B7" s="42" t="s">
        <v>3</v>
      </c>
      <c r="C7" s="73" t="s">
        <v>116</v>
      </c>
      <c r="D7" s="74"/>
      <c r="E7" s="74"/>
      <c r="F7" s="75"/>
    </row>
    <row r="8" spans="1:7" ht="37.5" x14ac:dyDescent="0.25">
      <c r="A8" s="41">
        <v>7</v>
      </c>
      <c r="B8" s="4" t="s">
        <v>6</v>
      </c>
      <c r="C8" s="4" t="s">
        <v>8</v>
      </c>
      <c r="D8" s="4" t="s">
        <v>7</v>
      </c>
      <c r="E8" s="4" t="s">
        <v>9</v>
      </c>
      <c r="F8" s="4" t="s">
        <v>10</v>
      </c>
    </row>
    <row r="9" spans="1:7" ht="18.75" x14ac:dyDescent="0.25">
      <c r="A9" s="41">
        <v>8</v>
      </c>
      <c r="B9" s="5" t="s">
        <v>33</v>
      </c>
      <c r="C9" s="4"/>
      <c r="D9" s="4"/>
      <c r="E9" s="4"/>
      <c r="F9" s="4"/>
    </row>
    <row r="10" spans="1:7" x14ac:dyDescent="0.25">
      <c r="A10" s="41">
        <v>9</v>
      </c>
      <c r="B10" s="6" t="s">
        <v>27</v>
      </c>
      <c r="C10" s="13" t="s">
        <v>28</v>
      </c>
      <c r="D10" s="13">
        <v>32</v>
      </c>
      <c r="E10" s="10">
        <v>170</v>
      </c>
      <c r="F10" s="9"/>
    </row>
    <row r="11" spans="1:7" x14ac:dyDescent="0.25">
      <c r="A11" s="41">
        <v>10</v>
      </c>
      <c r="B11" s="6" t="s">
        <v>70</v>
      </c>
      <c r="C11" s="13" t="s">
        <v>13</v>
      </c>
      <c r="D11" s="13">
        <v>28</v>
      </c>
      <c r="E11" s="10">
        <v>4000</v>
      </c>
      <c r="F11" s="9"/>
    </row>
    <row r="12" spans="1:7" x14ac:dyDescent="0.25">
      <c r="A12" s="41">
        <v>11</v>
      </c>
      <c r="B12" s="6" t="s">
        <v>29</v>
      </c>
      <c r="C12" s="13" t="s">
        <v>19</v>
      </c>
      <c r="D12" s="13">
        <f>0.4*D11</f>
        <v>11.200000000000001</v>
      </c>
      <c r="E12" s="10">
        <v>2000</v>
      </c>
      <c r="F12" s="9"/>
    </row>
    <row r="13" spans="1:7" x14ac:dyDescent="0.25">
      <c r="A13" s="41">
        <v>12</v>
      </c>
      <c r="B13" s="6" t="s">
        <v>30</v>
      </c>
      <c r="C13" s="13" t="s">
        <v>13</v>
      </c>
      <c r="D13" s="13">
        <f>D11</f>
        <v>28</v>
      </c>
      <c r="E13" s="10">
        <v>250</v>
      </c>
      <c r="F13" s="9"/>
    </row>
    <row r="14" spans="1:7" x14ac:dyDescent="0.25">
      <c r="A14" s="41">
        <v>13</v>
      </c>
      <c r="B14" s="6" t="s">
        <v>47</v>
      </c>
      <c r="C14" s="13" t="s">
        <v>11</v>
      </c>
      <c r="D14" s="54">
        <f>18.4*(14.68*2+14.458*2)/1000</f>
        <v>1.0722783999999999</v>
      </c>
      <c r="E14" s="10">
        <v>7000</v>
      </c>
      <c r="F14" s="55"/>
    </row>
    <row r="15" spans="1:7" x14ac:dyDescent="0.25">
      <c r="A15" s="41">
        <v>14</v>
      </c>
      <c r="B15" s="6" t="s">
        <v>48</v>
      </c>
      <c r="C15" s="13" t="str">
        <f>VLOOKUP(B15,[1]Фундаменты!Прайс,2,FALSE)</f>
        <v>тн</v>
      </c>
      <c r="D15" s="54">
        <f>D14</f>
        <v>1.0722783999999999</v>
      </c>
      <c r="E15" s="10">
        <v>33500</v>
      </c>
      <c r="F15" s="55"/>
    </row>
    <row r="16" spans="1:7" x14ac:dyDescent="0.25">
      <c r="A16" s="41">
        <v>15</v>
      </c>
      <c r="B16" s="7" t="s">
        <v>4</v>
      </c>
      <c r="C16" s="14"/>
      <c r="D16" s="14"/>
      <c r="E16" s="11"/>
      <c r="F16" s="15">
        <f>SUM(F10:F15)</f>
        <v>0</v>
      </c>
      <c r="G16" s="58"/>
    </row>
    <row r="17" spans="1:8" ht="18.75" x14ac:dyDescent="0.25">
      <c r="A17" s="41">
        <v>16</v>
      </c>
      <c r="B17" s="5" t="s">
        <v>22</v>
      </c>
      <c r="C17" s="4"/>
      <c r="D17" s="4"/>
      <c r="E17" s="4"/>
      <c r="F17" s="4"/>
    </row>
    <row r="18" spans="1:8" x14ac:dyDescent="0.25">
      <c r="A18" s="41">
        <v>17</v>
      </c>
      <c r="B18" s="6" t="s">
        <v>49</v>
      </c>
      <c r="C18" s="13" t="s">
        <v>51</v>
      </c>
      <c r="D18" s="13">
        <v>6</v>
      </c>
      <c r="E18" s="10">
        <v>2000</v>
      </c>
      <c r="F18" s="9">
        <f>D18*E18</f>
        <v>12000</v>
      </c>
    </row>
    <row r="19" spans="1:8" x14ac:dyDescent="0.25">
      <c r="A19" s="41">
        <v>18</v>
      </c>
      <c r="B19" s="6" t="s">
        <v>50</v>
      </c>
      <c r="C19" s="13" t="s">
        <v>51</v>
      </c>
      <c r="D19" s="13">
        <v>6</v>
      </c>
      <c r="E19" s="10">
        <v>2000</v>
      </c>
      <c r="F19" s="9">
        <f>D19*E19</f>
        <v>12000</v>
      </c>
    </row>
    <row r="20" spans="1:8" x14ac:dyDescent="0.25">
      <c r="A20" s="41">
        <v>19</v>
      </c>
      <c r="B20" s="6" t="s">
        <v>91</v>
      </c>
      <c r="C20" s="13" t="s">
        <v>51</v>
      </c>
      <c r="D20" s="13">
        <v>2</v>
      </c>
      <c r="E20" s="10">
        <f>6.229*3.007*(150282/(6.229*2.434))</f>
        <v>185660.63023829088</v>
      </c>
      <c r="F20" s="9">
        <f>D20*E20</f>
        <v>371321.26047658175</v>
      </c>
    </row>
    <row r="21" spans="1:8" x14ac:dyDescent="0.25">
      <c r="A21" s="41">
        <v>20</v>
      </c>
      <c r="B21" s="6" t="s">
        <v>92</v>
      </c>
      <c r="C21" s="13" t="s">
        <v>51</v>
      </c>
      <c r="D21" s="13">
        <v>4</v>
      </c>
      <c r="E21" s="10">
        <f>6.229*3.007*(128081/(6.229*2.434))</f>
        <v>158233.18282662283</v>
      </c>
      <c r="F21" s="9">
        <f t="shared" ref="F21" si="0">D21*E21</f>
        <v>632932.7313064913</v>
      </c>
    </row>
    <row r="22" spans="1:8" x14ac:dyDescent="0.25">
      <c r="A22" s="41">
        <v>21</v>
      </c>
      <c r="B22" s="7" t="s">
        <v>4</v>
      </c>
      <c r="C22" s="14"/>
      <c r="D22" s="14"/>
      <c r="E22" s="11"/>
      <c r="F22" s="15">
        <f>SUM(F18:F21)</f>
        <v>1028253.9917830731</v>
      </c>
      <c r="G22" s="58"/>
    </row>
    <row r="23" spans="1:8" ht="15.75" x14ac:dyDescent="0.25">
      <c r="A23" s="41">
        <v>22</v>
      </c>
      <c r="B23" s="5" t="s">
        <v>23</v>
      </c>
      <c r="C23" s="12"/>
      <c r="D23" s="12"/>
      <c r="E23" s="8"/>
      <c r="F23" s="9"/>
    </row>
    <row r="24" spans="1:8" x14ac:dyDescent="0.25">
      <c r="A24" s="41">
        <v>23</v>
      </c>
      <c r="B24" s="6" t="s">
        <v>52</v>
      </c>
      <c r="C24" s="13" t="str">
        <f>VLOOKUP(B24,[2]Кровля!Прайс,2,FALSE)</f>
        <v>тн</v>
      </c>
      <c r="D24" s="56">
        <f>0.015*F6</f>
        <v>1.68874419</v>
      </c>
      <c r="E24" s="10">
        <v>42000</v>
      </c>
      <c r="F24" s="9">
        <f>D24*E24</f>
        <v>70927.255980000002</v>
      </c>
    </row>
    <row r="25" spans="1:8" x14ac:dyDescent="0.25">
      <c r="A25" s="41">
        <v>24</v>
      </c>
      <c r="B25" s="6" t="s">
        <v>115</v>
      </c>
      <c r="C25" s="13" t="s">
        <v>12</v>
      </c>
      <c r="D25" s="56">
        <v>160</v>
      </c>
      <c r="E25" s="10">
        <v>450</v>
      </c>
      <c r="F25" s="9">
        <f t="shared" ref="F25:F39" si="1">D25*E25</f>
        <v>72000</v>
      </c>
    </row>
    <row r="26" spans="1:8" x14ac:dyDescent="0.25">
      <c r="A26" s="41">
        <v>25</v>
      </c>
      <c r="B26" s="6" t="s">
        <v>53</v>
      </c>
      <c r="C26" s="13" t="str">
        <f>VLOOKUP(B26,[2]Кровля!Прайс,2,FALSE)</f>
        <v>м3</v>
      </c>
      <c r="D26" s="56">
        <f>D25*0.04/4</f>
        <v>1.6</v>
      </c>
      <c r="E26" s="10">
        <v>6500</v>
      </c>
      <c r="F26" s="9">
        <f t="shared" si="1"/>
        <v>10400</v>
      </c>
    </row>
    <row r="27" spans="1:8" x14ac:dyDescent="0.25">
      <c r="A27" s="41">
        <v>26</v>
      </c>
      <c r="B27" s="6" t="s">
        <v>54</v>
      </c>
      <c r="C27" s="13" t="s">
        <v>55</v>
      </c>
      <c r="D27" s="56">
        <v>15</v>
      </c>
      <c r="E27" s="10">
        <v>650</v>
      </c>
      <c r="F27" s="9">
        <f t="shared" si="1"/>
        <v>9750</v>
      </c>
    </row>
    <row r="28" spans="1:8" x14ac:dyDescent="0.25">
      <c r="A28" s="41">
        <v>27</v>
      </c>
      <c r="B28" s="6" t="s">
        <v>56</v>
      </c>
      <c r="C28" s="13" t="str">
        <f>VLOOKUP(B28,[2]Кровля!Прайс,2,FALSE)</f>
        <v>тн</v>
      </c>
      <c r="D28" s="56">
        <f>D24</f>
        <v>1.68874419</v>
      </c>
      <c r="E28" s="10">
        <v>7000</v>
      </c>
      <c r="F28" s="9">
        <f t="shared" si="1"/>
        <v>11821.20933</v>
      </c>
      <c r="G28" s="58"/>
      <c r="H28" s="58"/>
    </row>
    <row r="29" spans="1:8" x14ac:dyDescent="0.25">
      <c r="A29" s="41">
        <v>28</v>
      </c>
      <c r="B29" s="6" t="s">
        <v>57</v>
      </c>
      <c r="C29" s="13" t="str">
        <f>VLOOKUP(B29,[2]Кровля!Прайс,2,FALSE)</f>
        <v>м2</v>
      </c>
      <c r="D29" s="56">
        <f>D25</f>
        <v>160</v>
      </c>
      <c r="E29" s="10">
        <v>250</v>
      </c>
      <c r="F29" s="9">
        <f t="shared" si="1"/>
        <v>40000</v>
      </c>
    </row>
    <row r="30" spans="1:8" x14ac:dyDescent="0.25">
      <c r="A30" s="41">
        <v>29</v>
      </c>
      <c r="B30" s="6" t="s">
        <v>58</v>
      </c>
      <c r="C30" s="13" t="str">
        <f>VLOOKUP(B30,[2]Кровля!Прайс,2,FALSE)</f>
        <v>м</v>
      </c>
      <c r="D30" s="56">
        <v>15</v>
      </c>
      <c r="E30" s="10">
        <f>E27*40%</f>
        <v>260</v>
      </c>
      <c r="F30" s="9">
        <f t="shared" si="1"/>
        <v>3900</v>
      </c>
    </row>
    <row r="31" spans="1:8" x14ac:dyDescent="0.25">
      <c r="A31" s="41">
        <v>30</v>
      </c>
      <c r="B31" s="6" t="s">
        <v>59</v>
      </c>
      <c r="C31" s="13" t="str">
        <f>VLOOKUP(B31,[1]Кровля!Прайс,2,FALSE)</f>
        <v>шт</v>
      </c>
      <c r="D31" s="56">
        <v>4</v>
      </c>
      <c r="E31" s="10">
        <v>250</v>
      </c>
      <c r="F31" s="9">
        <f t="shared" si="1"/>
        <v>1000</v>
      </c>
    </row>
    <row r="32" spans="1:8" x14ac:dyDescent="0.25">
      <c r="A32" s="41">
        <v>31</v>
      </c>
      <c r="B32" s="6" t="s">
        <v>60</v>
      </c>
      <c r="C32" s="13" t="str">
        <f>VLOOKUP(B32,[1]Кровля!Прайс,2,FALSE)</f>
        <v>шт</v>
      </c>
      <c r="D32" s="56">
        <f>D31</f>
        <v>4</v>
      </c>
      <c r="E32" s="10">
        <v>360</v>
      </c>
      <c r="F32" s="9">
        <f t="shared" si="1"/>
        <v>1440</v>
      </c>
    </row>
    <row r="33" spans="1:7" x14ac:dyDescent="0.25">
      <c r="A33" s="41">
        <v>32</v>
      </c>
      <c r="B33" s="6" t="s">
        <v>61</v>
      </c>
      <c r="C33" s="13" t="str">
        <f>VLOOKUP(B33,[1]Кровля!Прайс,2,FALSE)</f>
        <v>м</v>
      </c>
      <c r="D33" s="56">
        <v>15</v>
      </c>
      <c r="E33" s="10">
        <v>120</v>
      </c>
      <c r="F33" s="9">
        <f t="shared" si="1"/>
        <v>1800</v>
      </c>
    </row>
    <row r="34" spans="1:7" x14ac:dyDescent="0.25">
      <c r="A34" s="41">
        <v>33</v>
      </c>
      <c r="B34" s="6" t="s">
        <v>62</v>
      </c>
      <c r="C34" s="13" t="s">
        <v>12</v>
      </c>
      <c r="D34" s="56">
        <f>D33*0.4</f>
        <v>6</v>
      </c>
      <c r="E34" s="10">
        <v>480</v>
      </c>
      <c r="F34" s="9">
        <f t="shared" si="1"/>
        <v>2880</v>
      </c>
    </row>
    <row r="35" spans="1:7" x14ac:dyDescent="0.25">
      <c r="A35" s="41">
        <v>34</v>
      </c>
      <c r="B35" s="6" t="s">
        <v>63</v>
      </c>
      <c r="C35" s="13" t="str">
        <f>VLOOKUP(B35,[1]Кровля!Прайс,2,FALSE)</f>
        <v>м2</v>
      </c>
      <c r="D35" s="56">
        <f>D33*2*0.8</f>
        <v>24</v>
      </c>
      <c r="E35" s="10">
        <v>180</v>
      </c>
      <c r="F35" s="9">
        <f t="shared" si="1"/>
        <v>4320</v>
      </c>
    </row>
    <row r="36" spans="1:7" x14ac:dyDescent="0.25">
      <c r="A36" s="41">
        <v>35</v>
      </c>
      <c r="B36" s="6" t="s">
        <v>64</v>
      </c>
      <c r="C36" s="13" t="str">
        <f>VLOOKUP(B36,[1]Кровля!Прайс,2,FALSE)</f>
        <v>м2</v>
      </c>
      <c r="D36" s="56">
        <f>D35</f>
        <v>24</v>
      </c>
      <c r="E36" s="10">
        <v>353</v>
      </c>
      <c r="F36" s="9">
        <f t="shared" si="1"/>
        <v>8472</v>
      </c>
    </row>
    <row r="37" spans="1:7" x14ac:dyDescent="0.25">
      <c r="A37" s="41">
        <v>36</v>
      </c>
      <c r="B37" s="6" t="s">
        <v>113</v>
      </c>
      <c r="C37" s="13" t="s">
        <v>12</v>
      </c>
      <c r="D37" s="56">
        <f>3.2*2</f>
        <v>6.4</v>
      </c>
      <c r="E37" s="10">
        <v>1500</v>
      </c>
      <c r="F37" s="9">
        <f t="shared" si="1"/>
        <v>9600</v>
      </c>
    </row>
    <row r="38" spans="1:7" x14ac:dyDescent="0.25">
      <c r="A38" s="41">
        <v>37</v>
      </c>
      <c r="B38" s="6" t="s">
        <v>114</v>
      </c>
      <c r="C38" s="13" t="s">
        <v>12</v>
      </c>
      <c r="D38" s="56">
        <f>D37</f>
        <v>6.4</v>
      </c>
      <c r="E38" s="10">
        <v>650</v>
      </c>
      <c r="F38" s="9">
        <f t="shared" si="1"/>
        <v>4160</v>
      </c>
    </row>
    <row r="39" spans="1:7" x14ac:dyDescent="0.25">
      <c r="A39" s="41">
        <v>38</v>
      </c>
      <c r="B39" s="6" t="s">
        <v>65</v>
      </c>
      <c r="C39" s="13" t="str">
        <f>VLOOKUP(B39,[1]Кровля!Прайс,2,FALSE)</f>
        <v>компл</v>
      </c>
      <c r="D39" s="56">
        <f>D25</f>
        <v>160</v>
      </c>
      <c r="E39" s="10">
        <v>75</v>
      </c>
      <c r="F39" s="9">
        <f t="shared" si="1"/>
        <v>12000</v>
      </c>
    </row>
    <row r="40" spans="1:7" x14ac:dyDescent="0.25">
      <c r="A40" s="41">
        <v>39</v>
      </c>
      <c r="B40" s="7" t="s">
        <v>4</v>
      </c>
      <c r="C40" s="14"/>
      <c r="D40" s="14"/>
      <c r="E40" s="11"/>
      <c r="F40" s="15">
        <f>SUM(F24:F39)</f>
        <v>264470.46531</v>
      </c>
      <c r="G40" s="58"/>
    </row>
    <row r="41" spans="1:7" ht="21.75" customHeight="1" x14ac:dyDescent="0.25">
      <c r="A41" s="41">
        <v>40</v>
      </c>
      <c r="B41" s="5" t="s">
        <v>35</v>
      </c>
      <c r="C41" s="12"/>
      <c r="D41" s="12"/>
      <c r="E41" s="8"/>
      <c r="F41" s="9"/>
    </row>
    <row r="42" spans="1:7" x14ac:dyDescent="0.25">
      <c r="A42" s="41">
        <v>41</v>
      </c>
      <c r="B42" s="6" t="s">
        <v>16</v>
      </c>
      <c r="C42" s="13" t="s">
        <v>13</v>
      </c>
      <c r="D42" s="13">
        <v>10</v>
      </c>
      <c r="E42" s="10">
        <v>5000</v>
      </c>
      <c r="F42" s="9">
        <f t="shared" ref="F42:F46" si="2">D42*E42</f>
        <v>50000</v>
      </c>
    </row>
    <row r="43" spans="1:7" x14ac:dyDescent="0.25">
      <c r="A43" s="41">
        <v>42</v>
      </c>
      <c r="B43" s="6" t="s">
        <v>17</v>
      </c>
      <c r="C43" s="13" t="s">
        <v>13</v>
      </c>
      <c r="D43" s="13">
        <v>2</v>
      </c>
      <c r="E43" s="10">
        <v>18000</v>
      </c>
      <c r="F43" s="9">
        <f t="shared" si="2"/>
        <v>36000</v>
      </c>
    </row>
    <row r="44" spans="1:7" x14ac:dyDescent="0.25">
      <c r="A44" s="41">
        <v>43</v>
      </c>
      <c r="B44" s="6" t="s">
        <v>26</v>
      </c>
      <c r="C44" s="13" t="s">
        <v>13</v>
      </c>
      <c r="D44" s="13">
        <v>12</v>
      </c>
      <c r="E44" s="10">
        <v>1000</v>
      </c>
      <c r="F44" s="9">
        <f t="shared" ref="F44:F45" si="3">D44*E44</f>
        <v>12000</v>
      </c>
    </row>
    <row r="45" spans="1:7" x14ac:dyDescent="0.25">
      <c r="A45" s="41">
        <v>44</v>
      </c>
      <c r="B45" s="6" t="s">
        <v>110</v>
      </c>
      <c r="C45" s="13" t="s">
        <v>12</v>
      </c>
      <c r="D45" s="13">
        <f>5*0.8*1.2</f>
        <v>4.8</v>
      </c>
      <c r="E45" s="10">
        <v>3800</v>
      </c>
      <c r="F45" s="9">
        <f t="shared" si="3"/>
        <v>18240</v>
      </c>
    </row>
    <row r="46" spans="1:7" x14ac:dyDescent="0.25">
      <c r="A46" s="41">
        <v>45</v>
      </c>
      <c r="B46" s="6" t="s">
        <v>111</v>
      </c>
      <c r="C46" s="13" t="s">
        <v>12</v>
      </c>
      <c r="D46" s="13">
        <f>D45</f>
        <v>4.8</v>
      </c>
      <c r="E46" s="10">
        <v>800</v>
      </c>
      <c r="F46" s="9">
        <f t="shared" si="2"/>
        <v>3840</v>
      </c>
    </row>
    <row r="47" spans="1:7" x14ac:dyDescent="0.25">
      <c r="A47" s="41">
        <v>46</v>
      </c>
      <c r="B47" s="7" t="s">
        <v>4</v>
      </c>
      <c r="C47" s="14"/>
      <c r="D47" s="14"/>
      <c r="E47" s="11"/>
      <c r="F47" s="15">
        <f>SUM(F42:F46)</f>
        <v>120080</v>
      </c>
    </row>
    <row r="48" spans="1:7" ht="15.75" x14ac:dyDescent="0.25">
      <c r="A48" s="41">
        <v>47</v>
      </c>
      <c r="B48" s="5" t="s">
        <v>24</v>
      </c>
      <c r="C48" s="12"/>
      <c r="D48" s="12"/>
      <c r="E48" s="8"/>
      <c r="F48" s="9"/>
    </row>
    <row r="49" spans="1:7" x14ac:dyDescent="0.25">
      <c r="A49" s="41">
        <v>48</v>
      </c>
      <c r="B49" s="6" t="s">
        <v>15</v>
      </c>
      <c r="C49" s="13" t="s">
        <v>12</v>
      </c>
      <c r="D49" s="13">
        <f>(6*5+2.9*6+1.25+1.9)*C5</f>
        <v>126.375</v>
      </c>
      <c r="E49" s="10">
        <v>1100</v>
      </c>
      <c r="F49" s="9">
        <f>D49*E49</f>
        <v>139012.5</v>
      </c>
    </row>
    <row r="50" spans="1:7" x14ac:dyDescent="0.25">
      <c r="A50" s="41">
        <v>49</v>
      </c>
      <c r="B50" s="6" t="s">
        <v>18</v>
      </c>
      <c r="C50" s="13" t="s">
        <v>12</v>
      </c>
      <c r="D50" s="13">
        <f>D49</f>
        <v>126.375</v>
      </c>
      <c r="E50" s="10">
        <v>120</v>
      </c>
      <c r="F50" s="9">
        <f>D50*E50</f>
        <v>15165</v>
      </c>
    </row>
    <row r="51" spans="1:7" x14ac:dyDescent="0.25">
      <c r="A51" s="41">
        <v>50</v>
      </c>
      <c r="B51" s="7" t="s">
        <v>4</v>
      </c>
      <c r="C51" s="14"/>
      <c r="D51" s="14"/>
      <c r="E51" s="11"/>
      <c r="F51" s="15">
        <f>SUM(F49:F50)</f>
        <v>154177.5</v>
      </c>
    </row>
    <row r="52" spans="1:7" ht="15.75" x14ac:dyDescent="0.25">
      <c r="A52" s="41">
        <v>51</v>
      </c>
      <c r="B52" s="5" t="s">
        <v>37</v>
      </c>
      <c r="C52" s="12"/>
      <c r="D52" s="12"/>
      <c r="E52" s="8"/>
      <c r="F52" s="9"/>
    </row>
    <row r="53" spans="1:7" x14ac:dyDescent="0.25">
      <c r="A53" s="41">
        <v>52</v>
      </c>
      <c r="B53" s="19" t="s">
        <v>34</v>
      </c>
      <c r="C53" s="13"/>
      <c r="D53" s="13"/>
      <c r="E53" s="10"/>
      <c r="F53" s="9"/>
    </row>
    <row r="54" spans="1:7" x14ac:dyDescent="0.25">
      <c r="A54" s="41">
        <v>53</v>
      </c>
      <c r="B54" s="6" t="s">
        <v>73</v>
      </c>
      <c r="C54" s="13" t="s">
        <v>12</v>
      </c>
      <c r="D54" s="13">
        <f>(2.9*2+1.9*4)*C5</f>
        <v>33.5</v>
      </c>
      <c r="E54" s="10">
        <v>180</v>
      </c>
      <c r="F54" s="9">
        <f t="shared" ref="F54:F56" si="4">D54*E54</f>
        <v>6030</v>
      </c>
      <c r="G54" t="s">
        <v>84</v>
      </c>
    </row>
    <row r="55" spans="1:7" x14ac:dyDescent="0.25">
      <c r="A55" s="41">
        <v>54</v>
      </c>
      <c r="B55" s="6" t="s">
        <v>74</v>
      </c>
      <c r="C55" s="13" t="s">
        <v>12</v>
      </c>
      <c r="D55" s="13">
        <f>D54</f>
        <v>33.5</v>
      </c>
      <c r="E55" s="10">
        <v>95</v>
      </c>
      <c r="F55" s="9">
        <f t="shared" si="4"/>
        <v>3182.5</v>
      </c>
    </row>
    <row r="56" spans="1:7" x14ac:dyDescent="0.25">
      <c r="A56" s="41">
        <v>55</v>
      </c>
      <c r="B56" s="6" t="s">
        <v>75</v>
      </c>
      <c r="C56" s="13" t="s">
        <v>12</v>
      </c>
      <c r="D56" s="13">
        <f>D54</f>
        <v>33.5</v>
      </c>
      <c r="E56" s="10">
        <v>150</v>
      </c>
      <c r="F56" s="9">
        <f t="shared" si="4"/>
        <v>5025</v>
      </c>
    </row>
    <row r="57" spans="1:7" x14ac:dyDescent="0.25">
      <c r="A57" s="41">
        <v>56</v>
      </c>
      <c r="B57" s="19" t="s">
        <v>31</v>
      </c>
      <c r="C57" s="13"/>
      <c r="D57" s="13"/>
      <c r="E57" s="10"/>
      <c r="F57" s="9"/>
    </row>
    <row r="58" spans="1:7" x14ac:dyDescent="0.25">
      <c r="A58" s="41">
        <v>57</v>
      </c>
      <c r="B58" s="6" t="s">
        <v>76</v>
      </c>
      <c r="C58" s="13" t="s">
        <v>12</v>
      </c>
      <c r="D58" s="13">
        <f>D59</f>
        <v>88.25</v>
      </c>
      <c r="E58" s="10">
        <v>100</v>
      </c>
      <c r="F58" s="9">
        <f>D58*E58</f>
        <v>8825</v>
      </c>
    </row>
    <row r="59" spans="1:7" x14ac:dyDescent="0.25">
      <c r="A59" s="41">
        <v>58</v>
      </c>
      <c r="B59" s="6" t="s">
        <v>42</v>
      </c>
      <c r="C59" s="13" t="s">
        <v>12</v>
      </c>
      <c r="D59" s="13">
        <f>16.3+4.45+8.15+17.18+20.91+7.48+7.11+1.9+4.77</f>
        <v>88.25</v>
      </c>
      <c r="E59" s="10">
        <v>350</v>
      </c>
      <c r="F59" s="9">
        <f>D59*E59</f>
        <v>30887.5</v>
      </c>
    </row>
    <row r="60" spans="1:7" x14ac:dyDescent="0.25">
      <c r="A60" s="41">
        <v>59</v>
      </c>
      <c r="B60" s="6" t="s">
        <v>77</v>
      </c>
      <c r="C60" s="13" t="str">
        <f>VLOOKUP(B60,[1]Отделка!Прайс,2,FALSE)</f>
        <v>м2</v>
      </c>
      <c r="D60" s="13">
        <f>3.94+1.82</f>
        <v>5.76</v>
      </c>
      <c r="E60" s="10">
        <v>360</v>
      </c>
      <c r="F60" s="9">
        <f t="shared" ref="F60:F64" si="5">D60*E60</f>
        <v>2073.6</v>
      </c>
      <c r="G60" t="s">
        <v>93</v>
      </c>
    </row>
    <row r="61" spans="1:7" x14ac:dyDescent="0.25">
      <c r="A61" s="41">
        <v>60</v>
      </c>
      <c r="B61" s="6" t="s">
        <v>78</v>
      </c>
      <c r="C61" s="13" t="str">
        <f>VLOOKUP(B61,[1]Отделка!Прайс,2,FALSE)</f>
        <v>м2</v>
      </c>
      <c r="D61" s="13">
        <f>D60</f>
        <v>5.76</v>
      </c>
      <c r="E61" s="10">
        <v>635.85</v>
      </c>
      <c r="F61" s="9">
        <f t="shared" si="5"/>
        <v>3662.4960000000001</v>
      </c>
    </row>
    <row r="62" spans="1:7" x14ac:dyDescent="0.25">
      <c r="A62" s="41">
        <v>61</v>
      </c>
      <c r="B62" s="6" t="s">
        <v>79</v>
      </c>
      <c r="C62" s="13" t="str">
        <f>VLOOKUP(B62,[1]Отделка!Прайс,2,FALSE)</f>
        <v>м2</v>
      </c>
      <c r="D62" s="13">
        <f>2.86+2.51</f>
        <v>5.3699999999999992</v>
      </c>
      <c r="E62" s="10">
        <v>450</v>
      </c>
      <c r="F62" s="9">
        <f t="shared" si="5"/>
        <v>2416.4999999999995</v>
      </c>
      <c r="G62" t="s">
        <v>85</v>
      </c>
    </row>
    <row r="63" spans="1:7" x14ac:dyDescent="0.25">
      <c r="A63" s="41">
        <v>62</v>
      </c>
      <c r="B63" s="6" t="s">
        <v>80</v>
      </c>
      <c r="C63" s="13" t="s">
        <v>12</v>
      </c>
      <c r="D63" s="13">
        <f>D62</f>
        <v>5.3699999999999992</v>
      </c>
      <c r="E63" s="10">
        <v>599</v>
      </c>
      <c r="F63" s="9">
        <f t="shared" si="5"/>
        <v>3216.6299999999997</v>
      </c>
    </row>
    <row r="64" spans="1:7" x14ac:dyDescent="0.25">
      <c r="A64" s="41">
        <v>63</v>
      </c>
      <c r="B64" s="6" t="s">
        <v>81</v>
      </c>
      <c r="C64" s="13" t="str">
        <f>VLOOKUP(B64,[1]Отделка!Прайс,2,FALSE)</f>
        <v>кг</v>
      </c>
      <c r="D64" s="13">
        <f>D62*5</f>
        <v>26.849999999999994</v>
      </c>
      <c r="E64" s="10">
        <v>11.7</v>
      </c>
      <c r="F64" s="9">
        <f t="shared" si="5"/>
        <v>314.14499999999992</v>
      </c>
    </row>
    <row r="65" spans="1:7" ht="15.75" x14ac:dyDescent="0.25">
      <c r="A65" s="41">
        <v>64</v>
      </c>
      <c r="B65" s="19" t="s">
        <v>36</v>
      </c>
      <c r="C65" s="12"/>
      <c r="D65" s="12"/>
      <c r="E65" s="8"/>
      <c r="F65" s="9"/>
    </row>
    <row r="66" spans="1:7" ht="18" customHeight="1" x14ac:dyDescent="0.25">
      <c r="A66" s="41">
        <v>65</v>
      </c>
      <c r="B66" s="6" t="s">
        <v>82</v>
      </c>
      <c r="C66" s="13" t="str">
        <f>VLOOKUP(B66,[1]Отделка!Прайс,2,FALSE)</f>
        <v>м2</v>
      </c>
      <c r="D66" s="13">
        <f>D62</f>
        <v>5.3699999999999992</v>
      </c>
      <c r="E66" s="10">
        <v>180</v>
      </c>
      <c r="F66" s="9">
        <f t="shared" ref="F66:F67" si="6">D66*E66</f>
        <v>966.59999999999991</v>
      </c>
      <c r="G66" t="s">
        <v>84</v>
      </c>
    </row>
    <row r="67" spans="1:7" ht="31.5" customHeight="1" x14ac:dyDescent="0.25">
      <c r="A67" s="41">
        <v>66</v>
      </c>
      <c r="B67" s="6" t="s">
        <v>83</v>
      </c>
      <c r="C67" s="13" t="s">
        <v>12</v>
      </c>
      <c r="D67" s="13">
        <f>D66</f>
        <v>5.3699999999999992</v>
      </c>
      <c r="E67" s="10">
        <v>275</v>
      </c>
      <c r="F67" s="9">
        <f t="shared" si="6"/>
        <v>1476.7499999999998</v>
      </c>
    </row>
    <row r="68" spans="1:7" x14ac:dyDescent="0.25">
      <c r="A68" s="41">
        <v>67</v>
      </c>
      <c r="B68" s="7" t="s">
        <v>4</v>
      </c>
      <c r="C68" s="14"/>
      <c r="D68" s="14"/>
      <c r="E68" s="11"/>
      <c r="F68" s="15">
        <f>SUM(F53:F67)</f>
        <v>68076.721000000005</v>
      </c>
    </row>
    <row r="69" spans="1:7" ht="15.75" x14ac:dyDescent="0.25">
      <c r="A69" s="41">
        <v>68</v>
      </c>
      <c r="B69" s="25" t="s">
        <v>14</v>
      </c>
      <c r="C69" s="26"/>
      <c r="D69" s="26"/>
      <c r="E69" s="27"/>
      <c r="F69" s="28">
        <f>SUM(F10:F68)/2</f>
        <v>1635058.678093073</v>
      </c>
    </row>
    <row r="70" spans="1:7" ht="15.75" x14ac:dyDescent="0.25">
      <c r="A70" s="41">
        <v>69</v>
      </c>
      <c r="B70" s="29" t="s">
        <v>112</v>
      </c>
      <c r="C70" s="57" t="s">
        <v>66</v>
      </c>
      <c r="D70" s="57">
        <v>1</v>
      </c>
      <c r="E70" s="30"/>
      <c r="F70" s="31">
        <f>F69*D70%</f>
        <v>16350.586780930729</v>
      </c>
    </row>
    <row r="71" spans="1:7" ht="21" x14ac:dyDescent="0.35">
      <c r="A71" s="41">
        <v>70</v>
      </c>
      <c r="B71" s="32" t="s">
        <v>20</v>
      </c>
      <c r="C71" s="33"/>
      <c r="D71" s="33"/>
      <c r="E71" s="34"/>
      <c r="F71" s="35">
        <f>F69+F70</f>
        <v>1651409.2648740036</v>
      </c>
    </row>
    <row r="72" spans="1:7" ht="15.75" x14ac:dyDescent="0.25">
      <c r="A72" s="41">
        <v>71</v>
      </c>
      <c r="B72" s="21" t="s">
        <v>71</v>
      </c>
      <c r="C72" s="12"/>
      <c r="D72" s="12"/>
      <c r="E72" s="8"/>
      <c r="F72" s="9"/>
    </row>
    <row r="73" spans="1:7" ht="15.75" x14ac:dyDescent="0.25">
      <c r="A73" s="41">
        <v>72</v>
      </c>
      <c r="B73" s="20" t="s">
        <v>38</v>
      </c>
      <c r="C73" s="13" t="s">
        <v>12</v>
      </c>
      <c r="D73" s="60">
        <f>F6</f>
        <v>112.58294600000001</v>
      </c>
      <c r="E73" s="10">
        <v>450</v>
      </c>
      <c r="F73" s="9">
        <f>D73*E73</f>
        <v>50662.325700000001</v>
      </c>
    </row>
    <row r="74" spans="1:7" ht="15.75" x14ac:dyDescent="0.25">
      <c r="A74" s="41">
        <v>73</v>
      </c>
      <c r="B74" s="20" t="s">
        <v>21</v>
      </c>
      <c r="C74" s="13" t="s">
        <v>12</v>
      </c>
      <c r="D74" s="60">
        <f>D73</f>
        <v>112.58294600000001</v>
      </c>
      <c r="E74" s="10">
        <f>E73*50%</f>
        <v>225</v>
      </c>
      <c r="F74" s="9">
        <f t="shared" ref="F74:F82" si="7">D74*E74</f>
        <v>25331.162850000001</v>
      </c>
    </row>
    <row r="75" spans="1:7" ht="15" customHeight="1" x14ac:dyDescent="0.25">
      <c r="A75" s="41">
        <v>74</v>
      </c>
      <c r="B75" s="24" t="s">
        <v>45</v>
      </c>
      <c r="C75" s="13" t="s">
        <v>12</v>
      </c>
      <c r="D75" s="60">
        <f t="shared" ref="D75:D80" si="8">D74</f>
        <v>112.58294600000001</v>
      </c>
      <c r="E75" s="10">
        <v>150</v>
      </c>
      <c r="F75" s="9">
        <f t="shared" si="7"/>
        <v>16887.441900000002</v>
      </c>
    </row>
    <row r="76" spans="1:7" ht="15.75" x14ac:dyDescent="0.25">
      <c r="A76" s="41">
        <v>75</v>
      </c>
      <c r="B76" s="24" t="s">
        <v>32</v>
      </c>
      <c r="C76" s="13" t="s">
        <v>12</v>
      </c>
      <c r="D76" s="60">
        <f t="shared" si="8"/>
        <v>112.58294600000001</v>
      </c>
      <c r="E76" s="10">
        <f>E75*50%</f>
        <v>75</v>
      </c>
      <c r="F76" s="9">
        <f t="shared" si="7"/>
        <v>8443.7209500000008</v>
      </c>
    </row>
    <row r="77" spans="1:7" ht="15.75" x14ac:dyDescent="0.25">
      <c r="A77" s="41">
        <v>76</v>
      </c>
      <c r="B77" s="24" t="s">
        <v>122</v>
      </c>
      <c r="C77" s="13" t="s">
        <v>12</v>
      </c>
      <c r="D77" s="60">
        <f t="shared" si="8"/>
        <v>112.58294600000001</v>
      </c>
      <c r="E77" s="10">
        <v>125</v>
      </c>
      <c r="F77" s="9">
        <f t="shared" si="7"/>
        <v>14072.868250000001</v>
      </c>
    </row>
    <row r="78" spans="1:7" ht="15.75" x14ac:dyDescent="0.25">
      <c r="A78" s="41">
        <v>77</v>
      </c>
      <c r="B78" s="24" t="s">
        <v>123</v>
      </c>
      <c r="C78" s="13" t="s">
        <v>12</v>
      </c>
      <c r="D78" s="60">
        <f t="shared" si="8"/>
        <v>112.58294600000001</v>
      </c>
      <c r="E78" s="10">
        <f>E77*50%</f>
        <v>62.5</v>
      </c>
      <c r="F78" s="9">
        <f t="shared" si="7"/>
        <v>7036.4341250000007</v>
      </c>
    </row>
    <row r="79" spans="1:7" ht="15.75" x14ac:dyDescent="0.25">
      <c r="A79" s="41">
        <v>78</v>
      </c>
      <c r="B79" s="24" t="s">
        <v>39</v>
      </c>
      <c r="C79" s="13" t="s">
        <v>12</v>
      </c>
      <c r="D79" s="60">
        <f t="shared" si="8"/>
        <v>112.58294600000001</v>
      </c>
      <c r="E79" s="10">
        <v>130</v>
      </c>
      <c r="F79" s="9">
        <f t="shared" si="7"/>
        <v>14635.782980000002</v>
      </c>
    </row>
    <row r="80" spans="1:7" ht="15.75" x14ac:dyDescent="0.25">
      <c r="A80" s="41">
        <v>79</v>
      </c>
      <c r="B80" s="24" t="s">
        <v>40</v>
      </c>
      <c r="C80" s="13" t="s">
        <v>12</v>
      </c>
      <c r="D80" s="60">
        <f t="shared" si="8"/>
        <v>112.58294600000001</v>
      </c>
      <c r="E80" s="10">
        <f>E79*120%</f>
        <v>156</v>
      </c>
      <c r="F80" s="9">
        <f t="shared" si="7"/>
        <v>17562.939576000001</v>
      </c>
    </row>
    <row r="81" spans="1:8" ht="15.75" x14ac:dyDescent="0.25">
      <c r="A81" s="41">
        <v>80</v>
      </c>
      <c r="B81" s="24" t="s">
        <v>124</v>
      </c>
      <c r="C81" s="13" t="s">
        <v>12</v>
      </c>
      <c r="D81" s="60">
        <f>D80</f>
        <v>112.58294600000001</v>
      </c>
      <c r="E81" s="10">
        <v>120</v>
      </c>
      <c r="F81" s="9">
        <f t="shared" si="7"/>
        <v>13509.953520000001</v>
      </c>
    </row>
    <row r="82" spans="1:8" ht="15.75" x14ac:dyDescent="0.25">
      <c r="A82" s="41">
        <v>81</v>
      </c>
      <c r="B82" s="24" t="s">
        <v>125</v>
      </c>
      <c r="C82" s="13" t="s">
        <v>12</v>
      </c>
      <c r="D82" s="60">
        <f>D81</f>
        <v>112.58294600000001</v>
      </c>
      <c r="E82" s="10">
        <f>E81*120%</f>
        <v>144</v>
      </c>
      <c r="F82" s="9">
        <f t="shared" si="7"/>
        <v>16211.944224000001</v>
      </c>
    </row>
    <row r="83" spans="1:8" ht="15.75" x14ac:dyDescent="0.25">
      <c r="A83" s="41">
        <v>82</v>
      </c>
      <c r="B83" s="22" t="s">
        <v>4</v>
      </c>
      <c r="C83" s="13"/>
      <c r="D83" s="56"/>
      <c r="E83" s="10"/>
      <c r="F83" s="23">
        <f>SUM(F73:F80)</f>
        <v>154632.67633100002</v>
      </c>
    </row>
    <row r="84" spans="1:8" ht="15.75" x14ac:dyDescent="0.25">
      <c r="A84" s="41">
        <v>83</v>
      </c>
      <c r="B84" s="21" t="s">
        <v>67</v>
      </c>
      <c r="C84" s="13" t="s">
        <v>51</v>
      </c>
      <c r="D84" s="56">
        <v>1</v>
      </c>
      <c r="E84" s="10">
        <v>35000</v>
      </c>
      <c r="F84" s="23">
        <f>D84*E84</f>
        <v>35000</v>
      </c>
    </row>
    <row r="85" spans="1:8" ht="18.75" x14ac:dyDescent="0.3">
      <c r="A85" s="41">
        <v>84</v>
      </c>
      <c r="B85" s="46" t="s">
        <v>68</v>
      </c>
      <c r="C85" s="36" t="s">
        <v>66</v>
      </c>
      <c r="D85" s="36">
        <v>6</v>
      </c>
      <c r="E85" s="37"/>
      <c r="F85" s="39">
        <f>(F71+F83)*D85%</f>
        <v>108362.51647230021</v>
      </c>
    </row>
    <row r="86" spans="1:8" ht="18.75" x14ac:dyDescent="0.3">
      <c r="A86" s="41">
        <v>85</v>
      </c>
      <c r="B86" s="46" t="s">
        <v>69</v>
      </c>
      <c r="C86" s="36" t="s">
        <v>19</v>
      </c>
      <c r="D86" s="61">
        <f>35*F6/100</f>
        <v>39.404031100000005</v>
      </c>
      <c r="E86" s="37">
        <v>2000</v>
      </c>
      <c r="F86" s="39">
        <f>D86*E86</f>
        <v>78808.062200000015</v>
      </c>
    </row>
    <row r="87" spans="1:8" ht="15.75" x14ac:dyDescent="0.25">
      <c r="A87" s="41">
        <v>86</v>
      </c>
      <c r="B87" s="46" t="s">
        <v>94</v>
      </c>
      <c r="C87" s="47"/>
      <c r="D87" s="47"/>
      <c r="E87" s="48"/>
      <c r="F87" s="49">
        <f>SUM(F88:F120)</f>
        <v>581222</v>
      </c>
      <c r="G87" s="58"/>
      <c r="H87" s="58"/>
    </row>
    <row r="88" spans="1:8" x14ac:dyDescent="0.25">
      <c r="A88" s="41">
        <v>87</v>
      </c>
      <c r="B88" s="64" t="s">
        <v>95</v>
      </c>
      <c r="C88" s="51" t="s">
        <v>13</v>
      </c>
      <c r="D88" s="65">
        <v>3</v>
      </c>
      <c r="E88" s="52">
        <v>3500</v>
      </c>
      <c r="F88" s="52">
        <f t="shared" ref="F88:F107" si="9">D88*E88</f>
        <v>10500</v>
      </c>
    </row>
    <row r="89" spans="1:8" x14ac:dyDescent="0.25">
      <c r="A89" s="41">
        <v>88</v>
      </c>
      <c r="B89" s="66" t="s">
        <v>97</v>
      </c>
      <c r="C89" s="51" t="s">
        <v>13</v>
      </c>
      <c r="D89" s="65">
        <v>2</v>
      </c>
      <c r="E89" s="52">
        <v>6500</v>
      </c>
      <c r="F89" s="52">
        <f t="shared" si="9"/>
        <v>13000</v>
      </c>
    </row>
    <row r="90" spans="1:8" x14ac:dyDescent="0.25">
      <c r="A90" s="41">
        <v>89</v>
      </c>
      <c r="B90" s="66" t="s">
        <v>95</v>
      </c>
      <c r="C90" s="51" t="s">
        <v>13</v>
      </c>
      <c r="D90" s="65">
        <v>3</v>
      </c>
      <c r="E90" s="52">
        <v>3500</v>
      </c>
      <c r="F90" s="52">
        <f t="shared" si="9"/>
        <v>10500</v>
      </c>
    </row>
    <row r="91" spans="1:8" x14ac:dyDescent="0.25">
      <c r="A91" s="41">
        <v>90</v>
      </c>
      <c r="B91" s="66" t="s">
        <v>96</v>
      </c>
      <c r="C91" s="51" t="s">
        <v>13</v>
      </c>
      <c r="D91" s="65">
        <v>17</v>
      </c>
      <c r="E91" s="52">
        <v>750</v>
      </c>
      <c r="F91" s="52">
        <f t="shared" si="9"/>
        <v>12750</v>
      </c>
    </row>
    <row r="92" spans="1:8" x14ac:dyDescent="0.25">
      <c r="A92" s="41">
        <v>91</v>
      </c>
      <c r="B92" s="66" t="s">
        <v>98</v>
      </c>
      <c r="C92" s="51" t="s">
        <v>13</v>
      </c>
      <c r="D92" s="65">
        <v>4</v>
      </c>
      <c r="E92" s="52">
        <v>5500</v>
      </c>
      <c r="F92" s="52">
        <f t="shared" si="9"/>
        <v>22000</v>
      </c>
    </row>
    <row r="93" spans="1:8" x14ac:dyDescent="0.25">
      <c r="A93" s="41">
        <v>92</v>
      </c>
      <c r="B93" s="66" t="s">
        <v>99</v>
      </c>
      <c r="C93" s="51" t="s">
        <v>13</v>
      </c>
      <c r="D93" s="65">
        <v>8</v>
      </c>
      <c r="E93" s="52">
        <v>6000</v>
      </c>
      <c r="F93" s="52">
        <f t="shared" si="9"/>
        <v>48000</v>
      </c>
    </row>
    <row r="94" spans="1:8" x14ac:dyDescent="0.25">
      <c r="A94" s="41">
        <v>93</v>
      </c>
      <c r="B94" s="66" t="s">
        <v>100</v>
      </c>
      <c r="C94" s="51" t="s">
        <v>13</v>
      </c>
      <c r="D94" s="65">
        <v>1</v>
      </c>
      <c r="E94" s="52">
        <v>35000</v>
      </c>
      <c r="F94" s="52">
        <f t="shared" si="9"/>
        <v>35000</v>
      </c>
    </row>
    <row r="95" spans="1:8" x14ac:dyDescent="0.25">
      <c r="A95" s="41">
        <v>94</v>
      </c>
      <c r="B95" s="66" t="s">
        <v>101</v>
      </c>
      <c r="C95" s="51" t="s">
        <v>13</v>
      </c>
      <c r="D95" s="65">
        <v>2</v>
      </c>
      <c r="E95" s="52">
        <v>4500</v>
      </c>
      <c r="F95" s="52">
        <f t="shared" si="9"/>
        <v>9000</v>
      </c>
    </row>
    <row r="96" spans="1:8" x14ac:dyDescent="0.25">
      <c r="A96" s="41">
        <v>95</v>
      </c>
      <c r="B96" s="66" t="s">
        <v>102</v>
      </c>
      <c r="C96" s="51" t="s">
        <v>13</v>
      </c>
      <c r="D96" s="65">
        <v>2</v>
      </c>
      <c r="E96" s="52">
        <v>2000</v>
      </c>
      <c r="F96" s="52">
        <f t="shared" si="9"/>
        <v>4000</v>
      </c>
    </row>
    <row r="97" spans="1:6" x14ac:dyDescent="0.25">
      <c r="A97" s="41">
        <v>96</v>
      </c>
      <c r="B97" s="66" t="s">
        <v>103</v>
      </c>
      <c r="C97" s="51" t="s">
        <v>13</v>
      </c>
      <c r="D97" s="65">
        <v>1</v>
      </c>
      <c r="E97" s="52">
        <v>5500</v>
      </c>
      <c r="F97" s="52">
        <f t="shared" si="9"/>
        <v>5500</v>
      </c>
    </row>
    <row r="98" spans="1:6" x14ac:dyDescent="0.25">
      <c r="A98" s="41">
        <v>97</v>
      </c>
      <c r="B98" s="66" t="s">
        <v>104</v>
      </c>
      <c r="C98" s="51" t="s">
        <v>13</v>
      </c>
      <c r="D98" s="65">
        <v>4</v>
      </c>
      <c r="E98" s="52">
        <v>700</v>
      </c>
      <c r="F98" s="52">
        <f t="shared" si="9"/>
        <v>2800</v>
      </c>
    </row>
    <row r="99" spans="1:6" x14ac:dyDescent="0.25">
      <c r="A99" s="41">
        <v>98</v>
      </c>
      <c r="B99" s="66" t="s">
        <v>105</v>
      </c>
      <c r="C99" s="51" t="s">
        <v>13</v>
      </c>
      <c r="D99" s="65">
        <v>1</v>
      </c>
      <c r="E99" s="52">
        <v>11000</v>
      </c>
      <c r="F99" s="52">
        <f t="shared" si="9"/>
        <v>11000</v>
      </c>
    </row>
    <row r="100" spans="1:6" x14ac:dyDescent="0.25">
      <c r="A100" s="41">
        <v>99</v>
      </c>
      <c r="B100" s="66" t="s">
        <v>106</v>
      </c>
      <c r="C100" s="51" t="s">
        <v>13</v>
      </c>
      <c r="D100" s="65">
        <v>1</v>
      </c>
      <c r="E100" s="52">
        <v>5500</v>
      </c>
      <c r="F100" s="52">
        <f t="shared" si="9"/>
        <v>5500</v>
      </c>
    </row>
    <row r="101" spans="1:6" x14ac:dyDescent="0.25">
      <c r="A101" s="41">
        <v>100</v>
      </c>
      <c r="B101" s="66" t="s">
        <v>46</v>
      </c>
      <c r="C101" s="51" t="s">
        <v>13</v>
      </c>
      <c r="D101" s="65">
        <v>1</v>
      </c>
      <c r="E101" s="52">
        <v>4000</v>
      </c>
      <c r="F101" s="52">
        <f t="shared" si="9"/>
        <v>4000</v>
      </c>
    </row>
    <row r="102" spans="1:6" x14ac:dyDescent="0.25">
      <c r="A102" s="41">
        <v>101</v>
      </c>
      <c r="B102" s="66" t="s">
        <v>107</v>
      </c>
      <c r="C102" s="51" t="s">
        <v>13</v>
      </c>
      <c r="D102" s="65">
        <v>1</v>
      </c>
      <c r="E102" s="52">
        <v>6000</v>
      </c>
      <c r="F102" s="52">
        <f t="shared" si="9"/>
        <v>6000</v>
      </c>
    </row>
    <row r="103" spans="1:6" x14ac:dyDescent="0.25">
      <c r="A103" s="41">
        <v>102</v>
      </c>
      <c r="B103" s="66" t="s">
        <v>108</v>
      </c>
      <c r="C103" s="51" t="s">
        <v>13</v>
      </c>
      <c r="D103" s="65">
        <v>1</v>
      </c>
      <c r="E103" s="52">
        <v>16000</v>
      </c>
      <c r="F103" s="52">
        <f t="shared" si="9"/>
        <v>16000</v>
      </c>
    </row>
    <row r="104" spans="1:6" x14ac:dyDescent="0.25">
      <c r="A104" s="41">
        <v>103</v>
      </c>
      <c r="B104" s="66" t="s">
        <v>119</v>
      </c>
      <c r="C104" s="51" t="s">
        <v>13</v>
      </c>
      <c r="D104" s="65">
        <v>8</v>
      </c>
      <c r="E104" s="52">
        <v>2100</v>
      </c>
      <c r="F104" s="52">
        <f t="shared" si="9"/>
        <v>16800</v>
      </c>
    </row>
    <row r="105" spans="1:6" x14ac:dyDescent="0.25">
      <c r="A105" s="41">
        <v>104</v>
      </c>
      <c r="B105" s="66" t="s">
        <v>120</v>
      </c>
      <c r="C105" s="51" t="s">
        <v>13</v>
      </c>
      <c r="D105" s="65">
        <v>4</v>
      </c>
      <c r="E105" s="52">
        <v>2290</v>
      </c>
      <c r="F105" s="52">
        <f t="shared" ref="F105" si="10">D105*E105</f>
        <v>9160</v>
      </c>
    </row>
    <row r="106" spans="1:6" x14ac:dyDescent="0.25">
      <c r="A106" s="41">
        <v>105</v>
      </c>
      <c r="B106" s="66" t="s">
        <v>109</v>
      </c>
      <c r="C106" s="51" t="s">
        <v>13</v>
      </c>
      <c r="D106" s="65">
        <v>4</v>
      </c>
      <c r="E106" s="52">
        <v>1500</v>
      </c>
      <c r="F106" s="52">
        <f t="shared" si="9"/>
        <v>6000</v>
      </c>
    </row>
    <row r="107" spans="1:6" x14ac:dyDescent="0.25">
      <c r="A107" s="41">
        <v>106</v>
      </c>
      <c r="B107" s="66" t="s">
        <v>121</v>
      </c>
      <c r="C107" s="51" t="s">
        <v>13</v>
      </c>
      <c r="D107" s="65">
        <v>2</v>
      </c>
      <c r="E107" s="52">
        <v>7800</v>
      </c>
      <c r="F107" s="52">
        <f t="shared" si="9"/>
        <v>15600</v>
      </c>
    </row>
    <row r="108" spans="1:6" x14ac:dyDescent="0.25">
      <c r="A108" s="41">
        <v>107</v>
      </c>
      <c r="B108" s="50" t="s">
        <v>117</v>
      </c>
      <c r="C108" s="51" t="s">
        <v>13</v>
      </c>
      <c r="D108" s="51">
        <v>1</v>
      </c>
      <c r="E108" s="52">
        <v>10650</v>
      </c>
      <c r="F108" s="53">
        <f t="shared" ref="F108" si="11">D108*E108</f>
        <v>10650</v>
      </c>
    </row>
    <row r="109" spans="1:6" ht="30" x14ac:dyDescent="0.25">
      <c r="A109" s="41">
        <v>108</v>
      </c>
      <c r="B109" s="50" t="s">
        <v>118</v>
      </c>
      <c r="C109" s="51" t="s">
        <v>13</v>
      </c>
      <c r="D109" s="62">
        <v>2</v>
      </c>
      <c r="E109" s="52">
        <v>51781</v>
      </c>
      <c r="F109" s="63">
        <f>D109*E109</f>
        <v>103562</v>
      </c>
    </row>
    <row r="110" spans="1:6" x14ac:dyDescent="0.25">
      <c r="A110" s="41">
        <v>109</v>
      </c>
      <c r="B110" s="50" t="s">
        <v>129</v>
      </c>
      <c r="C110" s="51" t="s">
        <v>13</v>
      </c>
      <c r="D110" s="62">
        <v>2</v>
      </c>
      <c r="E110" s="52">
        <v>25000</v>
      </c>
      <c r="F110" s="63">
        <f>D110*E110</f>
        <v>50000</v>
      </c>
    </row>
    <row r="111" spans="1:6" x14ac:dyDescent="0.25">
      <c r="A111" s="41">
        <v>110</v>
      </c>
      <c r="B111" s="50" t="s">
        <v>126</v>
      </c>
      <c r="C111" s="51" t="s">
        <v>13</v>
      </c>
      <c r="D111" s="62">
        <v>1</v>
      </c>
      <c r="E111" s="52">
        <v>2100</v>
      </c>
      <c r="F111" s="63">
        <f>D111*E111</f>
        <v>2100</v>
      </c>
    </row>
    <row r="112" spans="1:6" x14ac:dyDescent="0.25">
      <c r="A112" s="41">
        <v>111</v>
      </c>
      <c r="B112" s="50" t="s">
        <v>127</v>
      </c>
      <c r="C112" s="51" t="s">
        <v>13</v>
      </c>
      <c r="D112" s="62">
        <v>1</v>
      </c>
      <c r="E112" s="52">
        <v>2500</v>
      </c>
      <c r="F112" s="63">
        <f>D112*E112</f>
        <v>2500</v>
      </c>
    </row>
    <row r="113" spans="1:8" x14ac:dyDescent="0.25">
      <c r="A113" s="41">
        <v>112</v>
      </c>
      <c r="B113" s="50" t="s">
        <v>128</v>
      </c>
      <c r="C113" s="51" t="s">
        <v>13</v>
      </c>
      <c r="D113" s="62">
        <v>5</v>
      </c>
      <c r="E113" s="52">
        <v>1200</v>
      </c>
      <c r="F113" s="63">
        <f>D113*E113</f>
        <v>6000</v>
      </c>
    </row>
    <row r="114" spans="1:8" x14ac:dyDescent="0.25">
      <c r="A114" s="41">
        <v>113</v>
      </c>
      <c r="B114" s="50" t="s">
        <v>86</v>
      </c>
      <c r="C114" s="51" t="s">
        <v>13</v>
      </c>
      <c r="D114" s="51">
        <v>1</v>
      </c>
      <c r="E114" s="52">
        <v>19000</v>
      </c>
      <c r="F114" s="63">
        <f>D114*E114</f>
        <v>19000</v>
      </c>
    </row>
    <row r="115" spans="1:8" x14ac:dyDescent="0.25">
      <c r="A115" s="41">
        <v>114</v>
      </c>
      <c r="B115" s="50" t="s">
        <v>130</v>
      </c>
      <c r="C115" s="51" t="s">
        <v>13</v>
      </c>
      <c r="D115" s="51">
        <v>4</v>
      </c>
      <c r="E115" s="52">
        <v>450</v>
      </c>
      <c r="F115" s="63">
        <f>D115*E115</f>
        <v>1800</v>
      </c>
    </row>
    <row r="116" spans="1:8" ht="30" x14ac:dyDescent="0.25">
      <c r="A116" s="41">
        <v>115</v>
      </c>
      <c r="B116" s="50" t="s">
        <v>131</v>
      </c>
      <c r="C116" s="51" t="s">
        <v>13</v>
      </c>
      <c r="D116" s="51">
        <v>2</v>
      </c>
      <c r="E116" s="52">
        <v>9800</v>
      </c>
      <c r="F116" s="63">
        <f>D116*E116</f>
        <v>19600</v>
      </c>
    </row>
    <row r="117" spans="1:8" x14ac:dyDescent="0.25">
      <c r="A117" s="41">
        <v>116</v>
      </c>
      <c r="B117" s="50" t="s">
        <v>132</v>
      </c>
      <c r="C117" s="51" t="s">
        <v>13</v>
      </c>
      <c r="D117" s="51">
        <v>12</v>
      </c>
      <c r="E117" s="52">
        <v>3400</v>
      </c>
      <c r="F117" s="63">
        <f>D117*E117</f>
        <v>40800</v>
      </c>
    </row>
    <row r="118" spans="1:8" x14ac:dyDescent="0.25">
      <c r="A118" s="41">
        <v>117</v>
      </c>
      <c r="B118" s="50" t="s">
        <v>133</v>
      </c>
      <c r="C118" s="51" t="s">
        <v>13</v>
      </c>
      <c r="D118" s="51">
        <v>1</v>
      </c>
      <c r="E118" s="52">
        <v>5600</v>
      </c>
      <c r="F118" s="63">
        <f>D118*E118</f>
        <v>5600</v>
      </c>
    </row>
    <row r="119" spans="1:8" x14ac:dyDescent="0.25">
      <c r="A119" s="41">
        <v>118</v>
      </c>
      <c r="B119" s="50" t="s">
        <v>134</v>
      </c>
      <c r="C119" s="51" t="s">
        <v>13</v>
      </c>
      <c r="D119" s="51">
        <v>12</v>
      </c>
      <c r="E119" s="52">
        <v>4500</v>
      </c>
      <c r="F119" s="63">
        <f>D119*E119</f>
        <v>54000</v>
      </c>
    </row>
    <row r="120" spans="1:8" x14ac:dyDescent="0.25">
      <c r="A120" s="41">
        <v>119</v>
      </c>
      <c r="B120" s="50" t="s">
        <v>135</v>
      </c>
      <c r="C120" s="51" t="s">
        <v>13</v>
      </c>
      <c r="D120" s="51">
        <v>2</v>
      </c>
      <c r="E120" s="52">
        <v>1250</v>
      </c>
      <c r="F120" s="63">
        <f>D120*E120</f>
        <v>2500</v>
      </c>
    </row>
    <row r="121" spans="1:8" ht="46.5" x14ac:dyDescent="0.25">
      <c r="A121" s="41">
        <v>130</v>
      </c>
      <c r="B121" s="16" t="s">
        <v>5</v>
      </c>
      <c r="C121" s="17"/>
      <c r="D121" s="17"/>
      <c r="E121" s="18"/>
      <c r="F121" s="40">
        <f>F71+F83+F85+F86+F84+F87</f>
        <v>2609434.5198773039</v>
      </c>
      <c r="G121" s="58">
        <f>F121*1.3</f>
        <v>3392264.8758404953</v>
      </c>
      <c r="H121" s="58"/>
    </row>
    <row r="122" spans="1:8" x14ac:dyDescent="0.25">
      <c r="A122" s="41">
        <v>131</v>
      </c>
      <c r="B122" s="43" t="s">
        <v>25</v>
      </c>
      <c r="C122" s="38">
        <v>2</v>
      </c>
      <c r="D122" s="72" t="s">
        <v>41</v>
      </c>
      <c r="E122" s="72"/>
      <c r="F122" s="44">
        <f>F121/F6</f>
        <v>23177.884507279668</v>
      </c>
    </row>
    <row r="123" spans="1:8" x14ac:dyDescent="0.25">
      <c r="A123"/>
      <c r="C123"/>
      <c r="D123"/>
      <c r="E123" s="67"/>
      <c r="F123" s="68"/>
      <c r="G123" s="58"/>
    </row>
    <row r="124" spans="1:8" x14ac:dyDescent="0.25">
      <c r="A124"/>
      <c r="C124"/>
      <c r="D124"/>
      <c r="F124" s="1"/>
    </row>
    <row r="125" spans="1:8" x14ac:dyDescent="0.25">
      <c r="A125"/>
      <c r="C125"/>
      <c r="D125"/>
      <c r="F125" s="1"/>
    </row>
    <row r="126" spans="1:8" x14ac:dyDescent="0.25">
      <c r="A126"/>
      <c r="C126"/>
      <c r="D126"/>
      <c r="F126" s="1"/>
    </row>
  </sheetData>
  <mergeCells count="9">
    <mergeCell ref="A1:B1"/>
    <mergeCell ref="C1:F1"/>
    <mergeCell ref="C2:F2"/>
    <mergeCell ref="C3:F3"/>
    <mergeCell ref="D122:E122"/>
    <mergeCell ref="C6:D6"/>
    <mergeCell ref="C4:F4"/>
    <mergeCell ref="C5:F5"/>
    <mergeCell ref="C7:F7"/>
  </mergeCells>
  <dataValidations disablePrompts="1" count="4">
    <dataValidation type="list" allowBlank="1" showInputMessage="1" showErrorMessage="1" sqref="B14:B15">
      <formula1>Фундаменты</formula1>
    </dataValidation>
    <dataValidation type="list" allowBlank="1" showInputMessage="1" showErrorMessage="1" sqref="B24:B39">
      <formula1>кровля</formula1>
    </dataValidation>
    <dataValidation type="list" allowBlank="1" showInputMessage="1" showErrorMessage="1" sqref="B60:B64 B66:B67">
      <formula1>отделка</formula1>
    </dataValidation>
    <dataValidation type="list" allowBlank="1" showInputMessage="1" showErrorMessage="1" sqref="B18:B21">
      <formula1>наружныестены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Анищенко Вадим</cp:lastModifiedBy>
  <cp:lastPrinted>2014-01-27T03:53:16Z</cp:lastPrinted>
  <dcterms:created xsi:type="dcterms:W3CDTF">2013-11-27T09:44:20Z</dcterms:created>
  <dcterms:modified xsi:type="dcterms:W3CDTF">2014-09-04T12:22:39Z</dcterms:modified>
</cp:coreProperties>
</file>