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735" windowWidth="19815" windowHeight="9225"/>
  </bookViews>
  <sheets>
    <sheet name="Коом.пред." sheetId="1" r:id="rId1"/>
    <sheet name="Себестоимость (в худшем)" sheetId="3" state="hidden" r:id="rId2"/>
    <sheet name="Себестоимость (в лудшем)" sheetId="6" r:id="rId3"/>
    <sheet name="На тендер" sheetId="4" state="hidden" r:id="rId4"/>
    <sheet name="Объёмы" sheetId="7" r:id="rId5"/>
  </sheets>
  <definedNames>
    <definedName name="_xlnm._FilterDatabase" localSheetId="0" hidden="1">Коом.пред.!$A$9:$C$34</definedName>
    <definedName name="_xlnm._FilterDatabase" localSheetId="3" hidden="1">'На тендер'!$A$9:$C$30</definedName>
    <definedName name="_xlnm._FilterDatabase" localSheetId="2" hidden="1">'Себестоимость (в лудшем)'!$A$9:$C$34</definedName>
    <definedName name="_xlnm._FilterDatabase" localSheetId="1" hidden="1">'Себестоимость (в худшем)'!$A$9:$C$32</definedName>
    <definedName name="_xlnm.Print_Titles" localSheetId="0">Коом.пред.!$9:$12</definedName>
    <definedName name="_xlnm.Print_Titles" localSheetId="3">'На тендер'!$9:$12</definedName>
    <definedName name="_xlnm.Print_Titles" localSheetId="2">'Себестоимость (в лудшем)'!$9:$12</definedName>
    <definedName name="_xlnm.Print_Titles" localSheetId="1">'Себестоимость (в худшем)'!$9:$12</definedName>
    <definedName name="_xlnm.Print_Area" localSheetId="0">Коом.пред.!$A$1:$J$78</definedName>
    <definedName name="_xlnm.Print_Area" localSheetId="3">'На тендер'!$A$1:$J$58</definedName>
    <definedName name="_xlnm.Print_Area" localSheetId="2">'Себестоимость (в лудшем)'!$A$1:$N$91</definedName>
  </definedNames>
  <calcPr calcId="125725"/>
</workbook>
</file>

<file path=xl/calcChain.xml><?xml version="1.0" encoding="utf-8"?>
<calcChain xmlns="http://schemas.openxmlformats.org/spreadsheetml/2006/main">
  <c r="D319" i="7"/>
  <c r="D320"/>
  <c r="D321"/>
  <c r="D322"/>
  <c r="D323"/>
  <c r="D318"/>
  <c r="L62" i="1"/>
  <c r="L61"/>
  <c r="L60"/>
  <c r="L59"/>
  <c r="L58"/>
  <c r="L57"/>
  <c r="L56"/>
  <c r="L55"/>
  <c r="L52"/>
  <c r="L51"/>
  <c r="L50"/>
  <c r="L30"/>
  <c r="L29"/>
  <c r="L28"/>
  <c r="L27"/>
  <c r="L26"/>
  <c r="L25"/>
  <c r="L24"/>
  <c r="L23"/>
  <c r="L20"/>
  <c r="L18"/>
  <c r="L17"/>
  <c r="L16"/>
  <c r="K62"/>
  <c r="K61"/>
  <c r="K60"/>
  <c r="K59"/>
  <c r="K58"/>
  <c r="K57"/>
  <c r="K56"/>
  <c r="K55"/>
  <c r="K25"/>
  <c r="K24"/>
  <c r="O52"/>
  <c r="O51"/>
  <c r="O23"/>
  <c r="O18"/>
  <c r="H18"/>
  <c r="P17"/>
  <c r="H17"/>
  <c r="O17"/>
  <c r="E17"/>
  <c r="K17" i="6"/>
  <c r="D315" i="7"/>
  <c r="D324"/>
  <c r="D326" s="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311" s="1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113" s="1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17"/>
  <c r="I30" i="6"/>
  <c r="I29"/>
  <c r="P29" i="1" s="1"/>
  <c r="I29" s="1"/>
  <c r="K29" s="1"/>
  <c r="I28" i="6"/>
  <c r="I27"/>
  <c r="I26"/>
  <c r="I25"/>
  <c r="I24"/>
  <c r="I23"/>
  <c r="P56" i="1"/>
  <c r="I56" s="1"/>
  <c r="P26"/>
  <c r="I26" s="1"/>
  <c r="K26" s="1"/>
  <c r="I62"/>
  <c r="I61"/>
  <c r="I60"/>
  <c r="I55"/>
  <c r="I25"/>
  <c r="I24"/>
  <c r="P16"/>
  <c r="I16" s="1"/>
  <c r="K16" s="1"/>
  <c r="D30" i="6"/>
  <c r="P28" i="1"/>
  <c r="I28" s="1"/>
  <c r="K28" s="1"/>
  <c r="P27"/>
  <c r="I27" s="1"/>
  <c r="K27" s="1"/>
  <c r="P23"/>
  <c r="I23" s="1"/>
  <c r="K23" s="1"/>
  <c r="D82" i="6"/>
  <c r="O62" i="1"/>
  <c r="D62"/>
  <c r="P59"/>
  <c r="I59" s="1"/>
  <c r="D59"/>
  <c r="P58"/>
  <c r="I58" s="1"/>
  <c r="D58"/>
  <c r="P57"/>
  <c r="I57" s="1"/>
  <c r="D57"/>
  <c r="D56"/>
  <c r="D59" i="6"/>
  <c r="G61"/>
  <c r="D73"/>
  <c r="D72"/>
  <c r="D71"/>
  <c r="D70"/>
  <c r="D69"/>
  <c r="D68"/>
  <c r="D66"/>
  <c r="D64"/>
  <c r="D63"/>
  <c r="D62"/>
  <c r="D61"/>
  <c r="D60"/>
  <c r="D58"/>
  <c r="D57"/>
  <c r="I3"/>
  <c r="E3"/>
  <c r="E4" s="1"/>
  <c r="J2"/>
  <c r="G70"/>
  <c r="D19" l="1"/>
  <c r="N19" s="1"/>
  <c r="D19" i="1"/>
  <c r="O19" s="1"/>
  <c r="D18" i="6"/>
  <c r="D44" i="7"/>
  <c r="I63" i="1"/>
  <c r="F30" i="6"/>
  <c r="N30"/>
  <c r="M52"/>
  <c r="M51"/>
  <c r="M50"/>
  <c r="M30"/>
  <c r="B10" i="7"/>
  <c r="D50" i="6" s="1"/>
  <c r="B12" i="7"/>
  <c r="D52" i="6" s="1"/>
  <c r="I2"/>
  <c r="G3"/>
  <c r="F3"/>
  <c r="E2"/>
  <c r="D23"/>
  <c r="N16"/>
  <c r="I14" i="1"/>
  <c r="D20" i="6"/>
  <c r="D17"/>
  <c r="I17" s="1"/>
  <c r="D46" i="1"/>
  <c r="D45"/>
  <c r="D44"/>
  <c r="D43"/>
  <c r="D42"/>
  <c r="D41"/>
  <c r="D40"/>
  <c r="D36"/>
  <c r="D33"/>
  <c r="D29"/>
  <c r="D28"/>
  <c r="D27"/>
  <c r="D26"/>
  <c r="O26" s="1"/>
  <c r="E27" i="6" s="1"/>
  <c r="H27" s="1"/>
  <c r="D25" i="1"/>
  <c r="D24"/>
  <c r="D23"/>
  <c r="D17"/>
  <c r="E17" i="6" s="1"/>
  <c r="H17" s="1"/>
  <c r="D16" i="1"/>
  <c r="D15"/>
  <c r="D14"/>
  <c r="D11" i="7"/>
  <c r="B11"/>
  <c r="D51" i="6" s="1"/>
  <c r="D2" i="7"/>
  <c r="D3"/>
  <c r="D4"/>
  <c r="D5"/>
  <c r="D6"/>
  <c r="D7"/>
  <c r="D8"/>
  <c r="D9"/>
  <c r="D1"/>
  <c r="I19" i="6" l="1"/>
  <c r="P19" i="1" s="1"/>
  <c r="I19" s="1"/>
  <c r="K19" s="1"/>
  <c r="H19"/>
  <c r="L19" s="1"/>
  <c r="E19" i="6"/>
  <c r="D18" i="1"/>
  <c r="I18" i="6"/>
  <c r="I21" s="1"/>
  <c r="N18"/>
  <c r="H21" i="1"/>
  <c r="K19" i="6"/>
  <c r="D10" i="7"/>
  <c r="O50" i="1" s="1"/>
  <c r="H50" s="1"/>
  <c r="I51" i="6"/>
  <c r="P51" i="1" s="1"/>
  <c r="I51" s="1"/>
  <c r="K51" s="1"/>
  <c r="D51"/>
  <c r="N51" i="6"/>
  <c r="D50" i="1"/>
  <c r="E50" i="6" s="1"/>
  <c r="H50" s="1"/>
  <c r="I50"/>
  <c r="N50"/>
  <c r="D52" i="1"/>
  <c r="E52" i="6" s="1"/>
  <c r="H52" s="1"/>
  <c r="I52"/>
  <c r="P52" i="1" s="1"/>
  <c r="I52" s="1"/>
  <c r="K52" s="1"/>
  <c r="N52" i="6"/>
  <c r="O16" i="1"/>
  <c r="E16" i="6" s="1"/>
  <c r="H16" s="1"/>
  <c r="L16" s="1"/>
  <c r="F16" i="1"/>
  <c r="F26"/>
  <c r="I4" i="6"/>
  <c r="L4" s="1"/>
  <c r="K2"/>
  <c r="L2" s="1"/>
  <c r="J17"/>
  <c r="I17" i="1"/>
  <c r="K17" s="1"/>
  <c r="AD85"/>
  <c r="AD88"/>
  <c r="AD87"/>
  <c r="M37" i="6"/>
  <c r="M20"/>
  <c r="N29"/>
  <c r="N26"/>
  <c r="N27"/>
  <c r="N17"/>
  <c r="N14"/>
  <c r="M40"/>
  <c r="M28"/>
  <c r="N28" s="1"/>
  <c r="M15"/>
  <c r="N15" s="1"/>
  <c r="J19" i="1" l="1"/>
  <c r="F19"/>
  <c r="G19" i="6"/>
  <c r="H19"/>
  <c r="E18"/>
  <c r="E18" i="1"/>
  <c r="P18"/>
  <c r="I18" s="1"/>
  <c r="K18" i="6"/>
  <c r="E19" i="1"/>
  <c r="G19" s="1"/>
  <c r="P50"/>
  <c r="I50" s="1"/>
  <c r="K50" i="6"/>
  <c r="F51" i="1"/>
  <c r="E51" i="6"/>
  <c r="H51" i="1"/>
  <c r="K51" i="6"/>
  <c r="N54"/>
  <c r="N55" s="1"/>
  <c r="H16" i="1"/>
  <c r="M33" i="6"/>
  <c r="M42" s="1"/>
  <c r="N42" s="1"/>
  <c r="M24"/>
  <c r="N24" s="1"/>
  <c r="N40"/>
  <c r="M46"/>
  <c r="N46" s="1"/>
  <c r="N23"/>
  <c r="M36"/>
  <c r="N36" s="1"/>
  <c r="M47"/>
  <c r="M41"/>
  <c r="G57"/>
  <c r="J57" s="1"/>
  <c r="H3"/>
  <c r="J70"/>
  <c r="G50"/>
  <c r="E48" i="3"/>
  <c r="J74" i="6"/>
  <c r="J72"/>
  <c r="J71"/>
  <c r="J69"/>
  <c r="J68"/>
  <c r="G66"/>
  <c r="J66" s="1"/>
  <c r="J65"/>
  <c r="J64"/>
  <c r="J63"/>
  <c r="J62"/>
  <c r="J61"/>
  <c r="J60"/>
  <c r="J59"/>
  <c r="G58"/>
  <c r="J58" s="1"/>
  <c r="K52"/>
  <c r="G52"/>
  <c r="L49"/>
  <c r="K49"/>
  <c r="H48"/>
  <c r="D47"/>
  <c r="L46"/>
  <c r="I46"/>
  <c r="J46" s="1"/>
  <c r="L45"/>
  <c r="I45"/>
  <c r="J45" s="1"/>
  <c r="L44"/>
  <c r="I44"/>
  <c r="J44" s="1"/>
  <c r="L43"/>
  <c r="I43"/>
  <c r="K43" s="1"/>
  <c r="L42"/>
  <c r="I42"/>
  <c r="J42" s="1"/>
  <c r="L41"/>
  <c r="I41"/>
  <c r="J41" s="1"/>
  <c r="L40"/>
  <c r="I40"/>
  <c r="L39"/>
  <c r="K39"/>
  <c r="D37"/>
  <c r="L36"/>
  <c r="I36"/>
  <c r="L35"/>
  <c r="K35"/>
  <c r="H34"/>
  <c r="L33"/>
  <c r="I33"/>
  <c r="I34" s="1"/>
  <c r="L32"/>
  <c r="K32"/>
  <c r="K29"/>
  <c r="K26"/>
  <c r="L27"/>
  <c r="J27"/>
  <c r="L22"/>
  <c r="K22"/>
  <c r="D20" i="1"/>
  <c r="L17" i="6"/>
  <c r="I16"/>
  <c r="L15"/>
  <c r="K15"/>
  <c r="L14"/>
  <c r="G72" i="3"/>
  <c r="J72" s="1"/>
  <c r="H49"/>
  <c r="E49"/>
  <c r="J71"/>
  <c r="D71"/>
  <c r="J69"/>
  <c r="J68"/>
  <c r="G57"/>
  <c r="G55"/>
  <c r="G58"/>
  <c r="I45"/>
  <c r="I49"/>
  <c r="I50" s="1"/>
  <c r="H32"/>
  <c r="I36"/>
  <c r="I35"/>
  <c r="I28"/>
  <c r="I18"/>
  <c r="D45"/>
  <c r="D18"/>
  <c r="D35"/>
  <c r="I53" i="1" l="1"/>
  <c r="K50"/>
  <c r="K18"/>
  <c r="J18"/>
  <c r="F18"/>
  <c r="G18" s="1"/>
  <c r="L19" i="6"/>
  <c r="J19"/>
  <c r="G18"/>
  <c r="H18"/>
  <c r="J51" i="1"/>
  <c r="E51"/>
  <c r="G51" s="1"/>
  <c r="H51" i="6"/>
  <c r="G51"/>
  <c r="M43"/>
  <c r="N33"/>
  <c r="I47"/>
  <c r="K47" s="1"/>
  <c r="D47" i="1"/>
  <c r="I37" i="6"/>
  <c r="K37" s="1"/>
  <c r="D37" i="1"/>
  <c r="J16" i="6"/>
  <c r="N47"/>
  <c r="K27"/>
  <c r="K28"/>
  <c r="K33"/>
  <c r="J33"/>
  <c r="J34" s="1"/>
  <c r="J43"/>
  <c r="I20"/>
  <c r="N20"/>
  <c r="N41"/>
  <c r="M44"/>
  <c r="N44" s="1"/>
  <c r="N37"/>
  <c r="N25"/>
  <c r="M45"/>
  <c r="N45" s="1"/>
  <c r="N43"/>
  <c r="K14"/>
  <c r="K41"/>
  <c r="G2"/>
  <c r="F2"/>
  <c r="I48"/>
  <c r="K23"/>
  <c r="K45"/>
  <c r="K16"/>
  <c r="K36"/>
  <c r="I53"/>
  <c r="D30" i="1"/>
  <c r="K24" i="6"/>
  <c r="J36"/>
  <c r="J38" s="1"/>
  <c r="K40"/>
  <c r="K42"/>
  <c r="K44"/>
  <c r="K46"/>
  <c r="J40"/>
  <c r="J49" i="3"/>
  <c r="K18"/>
  <c r="L18" i="6" l="1"/>
  <c r="J18"/>
  <c r="J21" s="1"/>
  <c r="H21"/>
  <c r="L51"/>
  <c r="J51"/>
  <c r="J50"/>
  <c r="L50"/>
  <c r="I38"/>
  <c r="J48"/>
  <c r="P20" i="1"/>
  <c r="I20" s="1"/>
  <c r="K25" i="6"/>
  <c r="K20"/>
  <c r="L3"/>
  <c r="M4" s="1"/>
  <c r="N4" s="1"/>
  <c r="L52"/>
  <c r="J52"/>
  <c r="H53"/>
  <c r="O55" i="1"/>
  <c r="H55" s="1"/>
  <c r="H52"/>
  <c r="H53" s="1"/>
  <c r="O46"/>
  <c r="H46" s="1"/>
  <c r="O45"/>
  <c r="H45" s="1"/>
  <c r="O44"/>
  <c r="H44" s="1"/>
  <c r="O43"/>
  <c r="H43" s="1"/>
  <c r="O42"/>
  <c r="H42" s="1"/>
  <c r="O41"/>
  <c r="H41" s="1"/>
  <c r="O40"/>
  <c r="H40" s="1"/>
  <c r="O36"/>
  <c r="H36" s="1"/>
  <c r="O33"/>
  <c r="H33" s="1"/>
  <c r="O29"/>
  <c r="O28"/>
  <c r="H28" s="1"/>
  <c r="O27"/>
  <c r="H27" s="1"/>
  <c r="H26"/>
  <c r="O25"/>
  <c r="H25" s="1"/>
  <c r="O24"/>
  <c r="H24" s="1"/>
  <c r="E16"/>
  <c r="H15"/>
  <c r="H14"/>
  <c r="J67" i="3"/>
  <c r="O47" i="1"/>
  <c r="H47" s="1"/>
  <c r="P37"/>
  <c r="I37" s="1"/>
  <c r="O30"/>
  <c r="O20"/>
  <c r="K20" l="1"/>
  <c r="I21"/>
  <c r="H30"/>
  <c r="E30" i="6"/>
  <c r="H30" s="1"/>
  <c r="H23" i="1"/>
  <c r="E23" i="6"/>
  <c r="H23" s="1"/>
  <c r="H20" i="1"/>
  <c r="E20" s="1"/>
  <c r="E20" i="6"/>
  <c r="H20" s="1"/>
  <c r="H29" i="1"/>
  <c r="E29" i="6"/>
  <c r="H29" s="1"/>
  <c r="J53"/>
  <c r="K30"/>
  <c r="P30" i="1"/>
  <c r="F20"/>
  <c r="O37"/>
  <c r="H37" s="1"/>
  <c r="J37" s="1"/>
  <c r="K54" i="6"/>
  <c r="I31"/>
  <c r="I54" s="1"/>
  <c r="P47" i="1"/>
  <c r="I47" s="1"/>
  <c r="F37"/>
  <c r="K37"/>
  <c r="E30"/>
  <c r="H31" l="1"/>
  <c r="L29" i="6"/>
  <c r="J29"/>
  <c r="L23"/>
  <c r="J23"/>
  <c r="I30" i="1"/>
  <c r="K30" s="1"/>
  <c r="J55" i="6"/>
  <c r="J67"/>
  <c r="L37" i="1"/>
  <c r="J20"/>
  <c r="K57" i="6"/>
  <c r="M57" s="1"/>
  <c r="F95" i="1" s="1"/>
  <c r="E18" i="3"/>
  <c r="H18" s="1"/>
  <c r="E35"/>
  <c r="H35" s="1"/>
  <c r="L35" s="1"/>
  <c r="E37" i="6"/>
  <c r="H37" s="1"/>
  <c r="E28" i="3"/>
  <c r="H28" s="1"/>
  <c r="H29" s="1"/>
  <c r="E45"/>
  <c r="H45" s="1"/>
  <c r="L45" s="1"/>
  <c r="E47" i="6"/>
  <c r="H47" s="1"/>
  <c r="F47" i="1"/>
  <c r="G47" s="1"/>
  <c r="K47"/>
  <c r="H36" i="3"/>
  <c r="J30" i="1"/>
  <c r="G37"/>
  <c r="J47"/>
  <c r="L47"/>
  <c r="G20"/>
  <c r="H62"/>
  <c r="F30" l="1"/>
  <c r="G30" s="1"/>
  <c r="I31"/>
  <c r="H95"/>
  <c r="J45" i="3"/>
  <c r="L28"/>
  <c r="G20" i="6"/>
  <c r="G18" i="3"/>
  <c r="G30" i="6"/>
  <c r="G47"/>
  <c r="G37"/>
  <c r="L18" i="3"/>
  <c r="J18"/>
  <c r="H19"/>
  <c r="F62" i="1"/>
  <c r="J62"/>
  <c r="J95" l="1"/>
  <c r="H38" i="6"/>
  <c r="J37"/>
  <c r="L37"/>
  <c r="J30"/>
  <c r="L30"/>
  <c r="L20"/>
  <c r="J20"/>
  <c r="J47"/>
  <c r="L47"/>
  <c r="G62" i="1"/>
  <c r="L95" l="1"/>
  <c r="E14" i="3"/>
  <c r="H38" i="1"/>
  <c r="L44"/>
  <c r="L41"/>
  <c r="H61"/>
  <c r="E61" s="1"/>
  <c r="H60"/>
  <c r="H59"/>
  <c r="H58"/>
  <c r="E58" s="1"/>
  <c r="H57"/>
  <c r="E57" s="1"/>
  <c r="H56"/>
  <c r="L45"/>
  <c r="L43"/>
  <c r="H34"/>
  <c r="L17" i="3"/>
  <c r="L16"/>
  <c r="L15"/>
  <c r="L14"/>
  <c r="L31"/>
  <c r="L20"/>
  <c r="L21"/>
  <c r="L22"/>
  <c r="L23"/>
  <c r="L24"/>
  <c r="L25"/>
  <c r="L26"/>
  <c r="L27"/>
  <c r="L30"/>
  <c r="L33"/>
  <c r="L34"/>
  <c r="L37"/>
  <c r="L38"/>
  <c r="L39"/>
  <c r="L40"/>
  <c r="L41"/>
  <c r="L42"/>
  <c r="L43"/>
  <c r="L44"/>
  <c r="L47"/>
  <c r="K20"/>
  <c r="K30"/>
  <c r="K33"/>
  <c r="K37"/>
  <c r="K47"/>
  <c r="J62"/>
  <c r="J61"/>
  <c r="G63"/>
  <c r="I14"/>
  <c r="K14" s="1"/>
  <c r="J59"/>
  <c r="D56"/>
  <c r="G54"/>
  <c r="J57"/>
  <c r="J56"/>
  <c r="J55"/>
  <c r="I36" i="1"/>
  <c r="I38" s="1"/>
  <c r="D23" i="3"/>
  <c r="D28" s="1"/>
  <c r="H63" i="1" l="1"/>
  <c r="N95"/>
  <c r="E56"/>
  <c r="E55"/>
  <c r="L40"/>
  <c r="H48"/>
  <c r="L15"/>
  <c r="E60"/>
  <c r="E59"/>
  <c r="L42"/>
  <c r="L46"/>
  <c r="L36"/>
  <c r="L14"/>
  <c r="K36"/>
  <c r="L33"/>
  <c r="D79" i="3"/>
  <c r="F20" i="4"/>
  <c r="F32" s="1"/>
  <c r="F15"/>
  <c r="F21" s="1"/>
  <c r="F37"/>
  <c r="F38"/>
  <c r="F40" s="1"/>
  <c r="I40" s="1"/>
  <c r="J40" s="1"/>
  <c r="H45"/>
  <c r="H44"/>
  <c r="I45"/>
  <c r="I44"/>
  <c r="I37"/>
  <c r="I29"/>
  <c r="I26"/>
  <c r="I24"/>
  <c r="I23"/>
  <c r="J23" s="1"/>
  <c r="I22"/>
  <c r="I20"/>
  <c r="I17"/>
  <c r="J17" s="1"/>
  <c r="I16"/>
  <c r="I15"/>
  <c r="I14"/>
  <c r="J66" i="3"/>
  <c r="J65"/>
  <c r="J58"/>
  <c r="J60"/>
  <c r="J63"/>
  <c r="J54"/>
  <c r="L49"/>
  <c r="H46"/>
  <c r="K49"/>
  <c r="I48"/>
  <c r="I44"/>
  <c r="I43"/>
  <c r="K43" s="1"/>
  <c r="I42"/>
  <c r="I41"/>
  <c r="K41" s="1"/>
  <c r="I40"/>
  <c r="I39"/>
  <c r="I38"/>
  <c r="K38" s="1"/>
  <c r="I34"/>
  <c r="I31"/>
  <c r="I27"/>
  <c r="K27" s="1"/>
  <c r="I26"/>
  <c r="I25"/>
  <c r="K25" s="1"/>
  <c r="I24"/>
  <c r="I23"/>
  <c r="I22"/>
  <c r="K22" s="1"/>
  <c r="I21"/>
  <c r="I17"/>
  <c r="I16"/>
  <c r="K16" s="1"/>
  <c r="I15"/>
  <c r="E41" i="4"/>
  <c r="E40"/>
  <c r="E39"/>
  <c r="E38"/>
  <c r="J37"/>
  <c r="E37"/>
  <c r="G37" s="1"/>
  <c r="E36"/>
  <c r="E35"/>
  <c r="E32"/>
  <c r="J30"/>
  <c r="J29"/>
  <c r="E29"/>
  <c r="G29" s="1"/>
  <c r="J26"/>
  <c r="E26"/>
  <c r="G26" s="1"/>
  <c r="E25"/>
  <c r="J24"/>
  <c r="E24"/>
  <c r="G24" s="1"/>
  <c r="E23"/>
  <c r="G23" s="1"/>
  <c r="J22"/>
  <c r="E22"/>
  <c r="G22" s="1"/>
  <c r="E21"/>
  <c r="J20"/>
  <c r="E20"/>
  <c r="G20" s="1"/>
  <c r="E17"/>
  <c r="G17" s="1"/>
  <c r="J16"/>
  <c r="E16"/>
  <c r="G16" s="1"/>
  <c r="J15"/>
  <c r="E15"/>
  <c r="J14"/>
  <c r="E14"/>
  <c r="G14" s="1"/>
  <c r="J43" i="3"/>
  <c r="J41"/>
  <c r="E52" i="1"/>
  <c r="E46" i="6"/>
  <c r="G46" s="1"/>
  <c r="E45"/>
  <c r="G45" s="1"/>
  <c r="E44"/>
  <c r="G44" s="1"/>
  <c r="E43"/>
  <c r="G43" s="1"/>
  <c r="E42"/>
  <c r="G42" s="1"/>
  <c r="E41"/>
  <c r="G41" s="1"/>
  <c r="E40"/>
  <c r="G40" s="1"/>
  <c r="F36" i="1"/>
  <c r="J36"/>
  <c r="J38" s="1"/>
  <c r="E29"/>
  <c r="E26"/>
  <c r="E23"/>
  <c r="G17" i="6"/>
  <c r="G16"/>
  <c r="H64" i="1" l="1"/>
  <c r="D83" s="1"/>
  <c r="P95"/>
  <c r="E23" i="3"/>
  <c r="G23" s="1"/>
  <c r="E25" i="6"/>
  <c r="E27" i="3"/>
  <c r="G27" s="1"/>
  <c r="G29" i="6"/>
  <c r="E22" i="3"/>
  <c r="G22" s="1"/>
  <c r="E24" i="6"/>
  <c r="E26" i="3"/>
  <c r="G26" s="1"/>
  <c r="E28" i="6"/>
  <c r="E34" i="3"/>
  <c r="G34" s="1"/>
  <c r="E36" i="6"/>
  <c r="G36" s="1"/>
  <c r="E21" i="3"/>
  <c r="G21" s="1"/>
  <c r="G23" i="6"/>
  <c r="E25" i="3"/>
  <c r="G25" s="1"/>
  <c r="E26" i="6"/>
  <c r="E31" i="3"/>
  <c r="G31" s="1"/>
  <c r="E33" i="6"/>
  <c r="G33" s="1"/>
  <c r="E24" i="3"/>
  <c r="G24" s="1"/>
  <c r="G27" i="6"/>
  <c r="I19" i="3"/>
  <c r="J22"/>
  <c r="I29"/>
  <c r="J39"/>
  <c r="K39"/>
  <c r="J42"/>
  <c r="K42"/>
  <c r="J21"/>
  <c r="K21"/>
  <c r="K34"/>
  <c r="J17"/>
  <c r="K17"/>
  <c r="J24"/>
  <c r="K24"/>
  <c r="I32"/>
  <c r="K31"/>
  <c r="J40"/>
  <c r="K40"/>
  <c r="J44"/>
  <c r="K44"/>
  <c r="J27"/>
  <c r="J25"/>
  <c r="J23"/>
  <c r="K23"/>
  <c r="J15"/>
  <c r="K15"/>
  <c r="J26"/>
  <c r="K26"/>
  <c r="K48"/>
  <c r="J16"/>
  <c r="G49"/>
  <c r="E44"/>
  <c r="G44" s="1"/>
  <c r="E43"/>
  <c r="G43" s="1"/>
  <c r="E42"/>
  <c r="G42" s="1"/>
  <c r="E41"/>
  <c r="G41" s="1"/>
  <c r="E40"/>
  <c r="G40" s="1"/>
  <c r="E39"/>
  <c r="G39" s="1"/>
  <c r="E38"/>
  <c r="G38" s="1"/>
  <c r="E17"/>
  <c r="G17" s="1"/>
  <c r="E16"/>
  <c r="G16" s="1"/>
  <c r="E15"/>
  <c r="G15" s="1"/>
  <c r="L64" i="1"/>
  <c r="L65" s="1"/>
  <c r="E50"/>
  <c r="J34" i="3"/>
  <c r="J36" s="1"/>
  <c r="I46"/>
  <c r="J31"/>
  <c r="J32" s="1"/>
  <c r="J38"/>
  <c r="G36" i="1"/>
  <c r="F25" i="4"/>
  <c r="I21"/>
  <c r="J21" s="1"/>
  <c r="J27" s="1"/>
  <c r="G15"/>
  <c r="J18"/>
  <c r="F35"/>
  <c r="F41" s="1"/>
  <c r="I41" s="1"/>
  <c r="J41" s="1"/>
  <c r="I32"/>
  <c r="J32" s="1"/>
  <c r="J33" s="1"/>
  <c r="G32"/>
  <c r="I35"/>
  <c r="J35" s="1"/>
  <c r="G21"/>
  <c r="F36"/>
  <c r="F39" s="1"/>
  <c r="I39" s="1"/>
  <c r="J39" s="1"/>
  <c r="I25"/>
  <c r="J25" s="1"/>
  <c r="G25"/>
  <c r="I36"/>
  <c r="J36" s="1"/>
  <c r="G40"/>
  <c r="G38"/>
  <c r="I38"/>
  <c r="J38" s="1"/>
  <c r="G26" i="6" l="1"/>
  <c r="H26"/>
  <c r="G25"/>
  <c r="H25"/>
  <c r="G28"/>
  <c r="H28"/>
  <c r="G24"/>
  <c r="H24"/>
  <c r="R95" i="1"/>
  <c r="E86"/>
  <c r="E90" s="1"/>
  <c r="E83"/>
  <c r="J19" i="3"/>
  <c r="J46"/>
  <c r="L66" i="1"/>
  <c r="G36" i="4"/>
  <c r="J42"/>
  <c r="G35"/>
  <c r="G41"/>
  <c r="G39"/>
  <c r="J28" i="6" l="1"/>
  <c r="L28"/>
  <c r="L26"/>
  <c r="J26"/>
  <c r="J24"/>
  <c r="L24"/>
  <c r="H31"/>
  <c r="H54" s="1"/>
  <c r="J56" s="1"/>
  <c r="L25"/>
  <c r="J25"/>
  <c r="T95" i="1"/>
  <c r="F83"/>
  <c r="G48" i="3"/>
  <c r="H48"/>
  <c r="H50" s="1"/>
  <c r="G14"/>
  <c r="J14"/>
  <c r="G45" i="4"/>
  <c r="J45"/>
  <c r="G44"/>
  <c r="J44"/>
  <c r="J31" i="6" l="1"/>
  <c r="J54" s="1"/>
  <c r="L54"/>
  <c r="U95" i="1"/>
  <c r="G83"/>
  <c r="G86" s="1"/>
  <c r="G90" s="1"/>
  <c r="L48" i="3"/>
  <c r="L51" s="1"/>
  <c r="M53" s="1"/>
  <c r="H51"/>
  <c r="J53" s="1"/>
  <c r="J48"/>
  <c r="J50" s="1"/>
  <c r="J46" i="4"/>
  <c r="J47" s="1"/>
  <c r="J17" i="1"/>
  <c r="F59"/>
  <c r="G59" s="1"/>
  <c r="I41"/>
  <c r="F41" s="1"/>
  <c r="G41" s="1"/>
  <c r="J58"/>
  <c r="I44"/>
  <c r="K44" s="1"/>
  <c r="I46"/>
  <c r="J46" s="1"/>
  <c r="F24"/>
  <c r="G24" s="1"/>
  <c r="I42"/>
  <c r="F42" s="1"/>
  <c r="G42" s="1"/>
  <c r="J26"/>
  <c r="I40"/>
  <c r="I33"/>
  <c r="F33" s="1"/>
  <c r="G33" s="1"/>
  <c r="F27"/>
  <c r="G27" s="1"/>
  <c r="J57"/>
  <c r="I15"/>
  <c r="J15" s="1"/>
  <c r="I43"/>
  <c r="K43" s="1"/>
  <c r="J29"/>
  <c r="J16"/>
  <c r="I45"/>
  <c r="J45" s="1"/>
  <c r="J25"/>
  <c r="J21" l="1"/>
  <c r="M56" i="6"/>
  <c r="M69" i="1" s="1"/>
  <c r="P69" s="1"/>
  <c r="M54" i="6"/>
  <c r="V95" i="1"/>
  <c r="H83"/>
  <c r="J23"/>
  <c r="J31" s="1"/>
  <c r="J14"/>
  <c r="J40"/>
  <c r="I48"/>
  <c r="J56"/>
  <c r="F44"/>
  <c r="G44" s="1"/>
  <c r="J59"/>
  <c r="K42"/>
  <c r="K14"/>
  <c r="F14"/>
  <c r="G14" s="1"/>
  <c r="I34"/>
  <c r="K45"/>
  <c r="F25"/>
  <c r="G25" s="1"/>
  <c r="F60"/>
  <c r="G60" s="1"/>
  <c r="J28"/>
  <c r="F45"/>
  <c r="G45" s="1"/>
  <c r="K15"/>
  <c r="J52"/>
  <c r="F52"/>
  <c r="G52" s="1"/>
  <c r="F23"/>
  <c r="G23" s="1"/>
  <c r="F15"/>
  <c r="G15" s="1"/>
  <c r="J33"/>
  <c r="J34" s="1"/>
  <c r="F29"/>
  <c r="G29" s="1"/>
  <c r="K33"/>
  <c r="F61"/>
  <c r="G61" s="1"/>
  <c r="J44"/>
  <c r="F50"/>
  <c r="G50" s="1"/>
  <c r="J50"/>
  <c r="F55"/>
  <c r="G55" s="1"/>
  <c r="K40"/>
  <c r="J60"/>
  <c r="J55"/>
  <c r="F57"/>
  <c r="G57" s="1"/>
  <c r="G26"/>
  <c r="F46"/>
  <c r="G46" s="1"/>
  <c r="J61"/>
  <c r="F58"/>
  <c r="G58" s="1"/>
  <c r="K41"/>
  <c r="F40"/>
  <c r="G40" s="1"/>
  <c r="F17"/>
  <c r="G17" s="1"/>
  <c r="J27"/>
  <c r="J42"/>
  <c r="F56"/>
  <c r="G56" s="1"/>
  <c r="G16"/>
  <c r="F43"/>
  <c r="G43" s="1"/>
  <c r="J24"/>
  <c r="J41"/>
  <c r="F28"/>
  <c r="G28" s="1"/>
  <c r="J43"/>
  <c r="K46"/>
  <c r="J63" l="1"/>
  <c r="J53"/>
  <c r="I64"/>
  <c r="D84" s="1"/>
  <c r="W95"/>
  <c r="I83"/>
  <c r="I86" s="1"/>
  <c r="I90" s="1"/>
  <c r="J48"/>
  <c r="K64"/>
  <c r="J64" l="1"/>
  <c r="X95"/>
  <c r="J83"/>
  <c r="E84"/>
  <c r="D82"/>
  <c r="M64"/>
  <c r="P64" s="1"/>
  <c r="K66"/>
  <c r="M66" s="1"/>
  <c r="K65"/>
  <c r="M65" s="1"/>
  <c r="P65" s="1"/>
  <c r="J78" i="3" l="1"/>
  <c r="J86" s="1"/>
  <c r="J81" i="6"/>
  <c r="Y95" i="1"/>
  <c r="F84"/>
  <c r="E82"/>
  <c r="E89" s="1"/>
  <c r="K83"/>
  <c r="K86" s="1"/>
  <c r="K90" s="1"/>
  <c r="P66"/>
  <c r="O7"/>
  <c r="J89" i="6" l="1"/>
  <c r="J82"/>
  <c r="AA95" i="1"/>
  <c r="E92"/>
  <c r="E91"/>
  <c r="E93"/>
  <c r="L83"/>
  <c r="G84"/>
  <c r="F82"/>
  <c r="J91" i="6"/>
  <c r="J76"/>
  <c r="J77" s="1"/>
  <c r="J90"/>
  <c r="J83"/>
  <c r="J87" i="3"/>
  <c r="J73"/>
  <c r="J74" s="1"/>
  <c r="J79"/>
  <c r="J80"/>
  <c r="J88"/>
  <c r="E94" i="1" l="1"/>
  <c r="E97" s="1"/>
  <c r="E99" s="1"/>
  <c r="AC95"/>
  <c r="J78" i="6"/>
  <c r="J79" s="1"/>
  <c r="J85"/>
  <c r="M83" i="1"/>
  <c r="M86" s="1"/>
  <c r="M90" s="1"/>
  <c r="H84"/>
  <c r="G82"/>
  <c r="G89" s="1"/>
  <c r="K58" i="6"/>
  <c r="K59" s="1"/>
  <c r="G101" i="1" l="1"/>
  <c r="J87" i="6"/>
  <c r="AD95" i="1"/>
  <c r="K79" i="6"/>
  <c r="K80"/>
  <c r="G92" i="1"/>
  <c r="G93"/>
  <c r="Q98" s="1"/>
  <c r="G91"/>
  <c r="I84"/>
  <c r="H82"/>
  <c r="N83"/>
  <c r="M58" i="6"/>
  <c r="F96" i="1" s="1"/>
  <c r="G28" i="3"/>
  <c r="J28"/>
  <c r="J29" s="1"/>
  <c r="J51" s="1"/>
  <c r="G94" i="1" l="1"/>
  <c r="G97" s="1"/>
  <c r="H96"/>
  <c r="M59" i="6"/>
  <c r="O83" i="1"/>
  <c r="O86" s="1"/>
  <c r="O90" s="1"/>
  <c r="J84"/>
  <c r="I82"/>
  <c r="M68"/>
  <c r="P68" s="1"/>
  <c r="K28" i="3"/>
  <c r="I51"/>
  <c r="G99" i="1" l="1"/>
  <c r="J96"/>
  <c r="I89"/>
  <c r="P83"/>
  <c r="K84"/>
  <c r="J82"/>
  <c r="J64" i="3"/>
  <c r="K55" s="1"/>
  <c r="M55" s="1"/>
  <c r="M56" s="1"/>
  <c r="J52"/>
  <c r="K54"/>
  <c r="I93" i="1" l="1"/>
  <c r="I101"/>
  <c r="L96"/>
  <c r="Q83"/>
  <c r="Q86" s="1"/>
  <c r="Q90" s="1"/>
  <c r="L84"/>
  <c r="K82"/>
  <c r="K89" s="1"/>
  <c r="I91"/>
  <c r="I92"/>
  <c r="J82" i="3"/>
  <c r="J75"/>
  <c r="J76" s="1"/>
  <c r="K56"/>
  <c r="M54"/>
  <c r="M67" i="1" s="1"/>
  <c r="I94" l="1"/>
  <c r="I97" s="1"/>
  <c r="I99" s="1"/>
  <c r="K101"/>
  <c r="N96"/>
  <c r="K91"/>
  <c r="K93"/>
  <c r="S98" s="1"/>
  <c r="K92"/>
  <c r="R83"/>
  <c r="M84"/>
  <c r="L82"/>
  <c r="K76" i="3"/>
  <c r="K77"/>
  <c r="M71" i="1"/>
  <c r="P67"/>
  <c r="K94" l="1"/>
  <c r="K97" s="1"/>
  <c r="K99" s="1"/>
  <c r="P96"/>
  <c r="N84"/>
  <c r="M82"/>
  <c r="M89" s="1"/>
  <c r="S83"/>
  <c r="S86" s="1"/>
  <c r="S90" s="1"/>
  <c r="M72"/>
  <c r="P72" s="1"/>
  <c r="P71"/>
  <c r="J35" i="3"/>
  <c r="G35"/>
  <c r="K35"/>
  <c r="G45"/>
  <c r="M101" i="1" l="1"/>
  <c r="R96"/>
  <c r="M92"/>
  <c r="M91"/>
  <c r="M93"/>
  <c r="O84"/>
  <c r="N82"/>
  <c r="T83"/>
  <c r="K45" i="3"/>
  <c r="K51" s="1"/>
  <c r="M51" s="1"/>
  <c r="M94" i="1" l="1"/>
  <c r="M97" s="1"/>
  <c r="M99" s="1"/>
  <c r="T96"/>
  <c r="P84"/>
  <c r="O82"/>
  <c r="O89" s="1"/>
  <c r="U83"/>
  <c r="T86"/>
  <c r="T90" s="1"/>
  <c r="O101" l="1"/>
  <c r="U96"/>
  <c r="O92"/>
  <c r="O91"/>
  <c r="O93"/>
  <c r="U98" s="1"/>
  <c r="Q84"/>
  <c r="P82"/>
  <c r="V83"/>
  <c r="U86"/>
  <c r="U90" s="1"/>
  <c r="O94" l="1"/>
  <c r="O97" s="1"/>
  <c r="O99" s="1"/>
  <c r="V96"/>
  <c r="R84"/>
  <c r="Q82"/>
  <c r="Q89" s="1"/>
  <c r="W83"/>
  <c r="V86"/>
  <c r="V90" s="1"/>
  <c r="Q101" l="1"/>
  <c r="W96"/>
  <c r="Q93"/>
  <c r="Q91"/>
  <c r="Q92"/>
  <c r="X83"/>
  <c r="W86"/>
  <c r="W90" s="1"/>
  <c r="S84"/>
  <c r="R82"/>
  <c r="Q94" l="1"/>
  <c r="Q97" s="1"/>
  <c r="Q99" s="1"/>
  <c r="X96"/>
  <c r="Y83"/>
  <c r="X86"/>
  <c r="X90" s="1"/>
  <c r="T84"/>
  <c r="S82"/>
  <c r="S89" s="1"/>
  <c r="S101" l="1"/>
  <c r="Y96"/>
  <c r="S91"/>
  <c r="S92"/>
  <c r="S93"/>
  <c r="W98" s="1"/>
  <c r="Z83"/>
  <c r="U84"/>
  <c r="T82"/>
  <c r="T89" s="1"/>
  <c r="S94" l="1"/>
  <c r="S97" s="1"/>
  <c r="S99" s="1"/>
  <c r="T101"/>
  <c r="AA96"/>
  <c r="T91"/>
  <c r="T93"/>
  <c r="T92"/>
  <c r="AA83"/>
  <c r="V84"/>
  <c r="U82"/>
  <c r="U89" s="1"/>
  <c r="Z86"/>
  <c r="Z90" s="1"/>
  <c r="T94" l="1"/>
  <c r="T97" s="1"/>
  <c r="T99" s="1"/>
  <c r="U101"/>
  <c r="AC96"/>
  <c r="W84"/>
  <c r="V82"/>
  <c r="V89" s="1"/>
  <c r="AB83"/>
  <c r="U92"/>
  <c r="U93"/>
  <c r="U91"/>
  <c r="U94" l="1"/>
  <c r="U97" s="1"/>
  <c r="U99" s="1"/>
  <c r="V101"/>
  <c r="AD96"/>
  <c r="X84"/>
  <c r="W82"/>
  <c r="AC83"/>
  <c r="V93"/>
  <c r="V92"/>
  <c r="V91"/>
  <c r="AB86"/>
  <c r="AB90" s="1"/>
  <c r="V94" l="1"/>
  <c r="V97" s="1"/>
  <c r="V99" s="1"/>
  <c r="W89"/>
  <c r="AC86"/>
  <c r="AC84"/>
  <c r="AD83"/>
  <c r="Y84"/>
  <c r="X82"/>
  <c r="X89" s="1"/>
  <c r="X101" l="1"/>
  <c r="W101"/>
  <c r="Z89"/>
  <c r="Z84"/>
  <c r="Y82"/>
  <c r="W93"/>
  <c r="W91"/>
  <c r="W92"/>
  <c r="AC90"/>
  <c r="AD90" s="1"/>
  <c r="AD86"/>
  <c r="Z92"/>
  <c r="X93"/>
  <c r="X91"/>
  <c r="X92"/>
  <c r="AC82"/>
  <c r="X94" l="1"/>
  <c r="X97" s="1"/>
  <c r="W94"/>
  <c r="W97" s="1"/>
  <c r="W99" s="1"/>
  <c r="Z91"/>
  <c r="Z101"/>
  <c r="AC98"/>
  <c r="AD98" s="1"/>
  <c r="Z93"/>
  <c r="AC89"/>
  <c r="AA84"/>
  <c r="Z82"/>
  <c r="X99" l="1"/>
  <c r="Z94"/>
  <c r="Z97" s="1"/>
  <c r="AB89"/>
  <c r="AC91"/>
  <c r="AC92"/>
  <c r="AC93"/>
  <c r="AB84"/>
  <c r="AA82"/>
  <c r="Z99" l="1"/>
  <c r="AC94"/>
  <c r="AC97" s="1"/>
  <c r="AD89"/>
  <c r="AB101"/>
  <c r="AB92"/>
  <c r="AD92" s="1"/>
  <c r="AB93"/>
  <c r="AD93" s="1"/>
  <c r="AD100" s="1"/>
  <c r="AB91"/>
  <c r="AB82"/>
  <c r="AD82" s="1"/>
  <c r="AD84"/>
  <c r="AB94" l="1"/>
  <c r="AB97" s="1"/>
  <c r="AC101"/>
  <c r="AD101" s="1"/>
  <c r="AD91"/>
  <c r="AD94" l="1"/>
  <c r="AB99"/>
  <c r="AC99" s="1"/>
  <c r="AD99" s="1"/>
  <c r="AD97"/>
</calcChain>
</file>

<file path=xl/sharedStrings.xml><?xml version="1.0" encoding="utf-8"?>
<sst xmlns="http://schemas.openxmlformats.org/spreadsheetml/2006/main" count="1020" uniqueCount="246">
  <si>
    <r>
      <rPr>
        <sz val="8"/>
        <rFont val="Arial"/>
        <family val="2"/>
        <charset val="204"/>
      </rPr>
      <t>1</t>
    </r>
  </si>
  <si>
    <t>№ пп</t>
  </si>
  <si>
    <t>Ед. изм.</t>
  </si>
  <si>
    <t>Количество</t>
  </si>
  <si>
    <t>"Матер."</t>
  </si>
  <si>
    <t>"Работа"</t>
  </si>
  <si>
    <t xml:space="preserve">_____________________ </t>
  </si>
  <si>
    <t>Цена за единицу, руб.</t>
  </si>
  <si>
    <t>Авансирование - _____ %</t>
  </si>
  <si>
    <t>Банковская гарантия на размер аванса*(да/нет) _________</t>
  </si>
  <si>
    <t>*банка, входящего в ТОР20</t>
  </si>
  <si>
    <t>Гарантия на выполненные работы ______________лет</t>
  </si>
  <si>
    <t>Руководитель организации _____________________ ФИО</t>
  </si>
  <si>
    <t xml:space="preserve">                                                                        подпись</t>
  </si>
  <si>
    <t>Всего           (6+7)</t>
  </si>
  <si>
    <t>"Матер."      (6*4)</t>
  </si>
  <si>
    <t>"Работа"     (7*4)</t>
  </si>
  <si>
    <t>Всего      (9+10)</t>
  </si>
  <si>
    <t>Бланк организации</t>
  </si>
  <si>
    <t xml:space="preserve">Итого (с НДС), руб </t>
  </si>
  <si>
    <t>1</t>
  </si>
  <si>
    <t>2</t>
  </si>
  <si>
    <t>3</t>
  </si>
  <si>
    <t>4</t>
  </si>
  <si>
    <t>Итого по разделу 1:</t>
  </si>
  <si>
    <t>Итого по разделу 2:</t>
  </si>
  <si>
    <t>Итого по разделу 3:</t>
  </si>
  <si>
    <t>ИТОГО</t>
  </si>
  <si>
    <t>Коммерческое предложение на _____________________________________ на объекте _______________________________________ по адресу_____________________</t>
  </si>
  <si>
    <t>Наименование работ, материалов</t>
  </si>
  <si>
    <t>м3</t>
  </si>
  <si>
    <t>Стены наружные из пенобетонных блоков 600х400х250</t>
  </si>
  <si>
    <t>Сроки выполнения работ - _______ к.д.</t>
  </si>
  <si>
    <t>Стены из кирпича 120мм (облицовка тех.этажа)</t>
  </si>
  <si>
    <t>м2</t>
  </si>
  <si>
    <t>Стены из кирпича 250мм (тех.этажа)</t>
  </si>
  <si>
    <t>Перегородки из кирпича 120мм</t>
  </si>
  <si>
    <t>Перегородки из пенобетонных блоков 600х200х250</t>
  </si>
  <si>
    <t>Стены наружные из пенобетонных блоков 600х200х250</t>
  </si>
  <si>
    <t>Перегородки пенобетонные из гипсовых пазогребневых плит 667х500х80мм</t>
  </si>
  <si>
    <t>Перегородки двухслойные пенобетонные из гипсовых пазогребневых плит 667х500х80мм с зазором 50мм (общая толщина 210мм)</t>
  </si>
  <si>
    <t>Перегородки из кирпича 65мм, санузлы</t>
  </si>
  <si>
    <t>Перегородки из кирпича 250мм</t>
  </si>
  <si>
    <t>Устройство мин.плиты по санузлам и пазогребневым перегородкам б=50мм (звукоизоляция межквартирных перегородок)</t>
  </si>
  <si>
    <t>5</t>
  </si>
  <si>
    <t>6</t>
  </si>
  <si>
    <t>7</t>
  </si>
  <si>
    <t>Стены</t>
  </si>
  <si>
    <t>Перегородки</t>
  </si>
  <si>
    <t>Вент.шахты на кровле</t>
  </si>
  <si>
    <t>Лоджии</t>
  </si>
  <si>
    <t>Стены лоджий</t>
  </si>
  <si>
    <t>Итого по разделу 4:</t>
  </si>
  <si>
    <t>Перегородки в автопарковке</t>
  </si>
  <si>
    <t>Стены из кирпича 250мм</t>
  </si>
  <si>
    <t>Стены из кирпича 380мм</t>
  </si>
  <si>
    <t>Цоколь, кирпич 120мм</t>
  </si>
  <si>
    <t>Выход из парковки, кирпич 250мм</t>
  </si>
  <si>
    <t>Перемычки, обрамление проёмов</t>
  </si>
  <si>
    <t>Итого по разделу 5:</t>
  </si>
  <si>
    <t>В блок секциях</t>
  </si>
  <si>
    <t>к-с</t>
  </si>
  <si>
    <t>В парковке</t>
  </si>
  <si>
    <t>Итого по разделу 6:</t>
  </si>
  <si>
    <t>Вент.шахты на кровле, кирпич 250мм</t>
  </si>
  <si>
    <t>Стены лоджий, кирпич 250мм</t>
  </si>
  <si>
    <t>Стены наружные из пенобетонных блоков 600х400х250, временная стена</t>
  </si>
  <si>
    <t>мес</t>
  </si>
  <si>
    <t>Пожертвования</t>
  </si>
  <si>
    <t>%</t>
  </si>
  <si>
    <t>Налоги</t>
  </si>
  <si>
    <t>Аренда офиса</t>
  </si>
  <si>
    <t>ИТОГО СЕБЕСТОМОСТЬ</t>
  </si>
  <si>
    <t>ИТОГО НАКЛАДНЫХ РАСХОДОВ</t>
  </si>
  <si>
    <t>Работа</t>
  </si>
  <si>
    <t>Материал</t>
  </si>
  <si>
    <t>Чистая прибыль</t>
  </si>
  <si>
    <t>Стены лоджий, кирпич 120мм</t>
  </si>
  <si>
    <t>от работ без материалов</t>
  </si>
  <si>
    <t>от договора с материалами</t>
  </si>
  <si>
    <t>Оплата в виде денег</t>
  </si>
  <si>
    <t>Оплата в виде м2</t>
  </si>
  <si>
    <t>руб</t>
  </si>
  <si>
    <t>Договор (см.вкладку "на тендер")</t>
  </si>
  <si>
    <t>Дефицит собственных средств на выкуп квартир</t>
  </si>
  <si>
    <t>Вывод идеальный сценарий при 20% в виде м2</t>
  </si>
  <si>
    <t>Ген.подрядное вознаграждение</t>
  </si>
  <si>
    <t>Гарантийные удержания на 90дней</t>
  </si>
  <si>
    <t>Гарантийные удержания на 180дней</t>
  </si>
  <si>
    <t>Гарантийные удержания на 2года</t>
  </si>
  <si>
    <t>доп.условие</t>
  </si>
  <si>
    <t>Аренда самогруза для перегрузки материалов</t>
  </si>
  <si>
    <t>час</t>
  </si>
  <si>
    <t>ИТОГО:</t>
  </si>
  <si>
    <t>Затраты из раздела ППР</t>
  </si>
  <si>
    <t>Устройство подстилающих слоев: щебеночных для площадок хранения кирпича</t>
  </si>
  <si>
    <t>Аренда грузового подъёмника типа SC200 2комплекта.</t>
  </si>
  <si>
    <t>Аренда вагон-бытовок 4шт в мес.</t>
  </si>
  <si>
    <t>Кабель  КГ 2*1,5 на переноски и светильники</t>
  </si>
  <si>
    <t>Кабель  КГ 4*25 на подъёмник,  бункер и бытовки</t>
  </si>
  <si>
    <t>м</t>
  </si>
  <si>
    <t>Аренда бытовок 4шт</t>
  </si>
  <si>
    <t>Подъёмники SC200 2шт (Монтаж, демонтаж, испытания, ППР для подъёмников) аренда в мес.</t>
  </si>
  <si>
    <t>Вывоз мусора</t>
  </si>
  <si>
    <t>Геодез.работы</t>
  </si>
  <si>
    <t>Зарплата сотрудников СБГ 6*10+2*40+50</t>
  </si>
  <si>
    <t>Банки для раствора</t>
  </si>
  <si>
    <t>Козырьки</t>
  </si>
  <si>
    <t>в месяц</t>
  </si>
  <si>
    <t>в счёт квартир</t>
  </si>
  <si>
    <t>в наряды 1мес.</t>
  </si>
  <si>
    <t>в накладняк 1мес</t>
  </si>
  <si>
    <t>всех затрат</t>
  </si>
  <si>
    <t>в мес</t>
  </si>
  <si>
    <t>РАБОТЫ</t>
  </si>
  <si>
    <t>МАТЕРИАЛЫ</t>
  </si>
  <si>
    <t>всех затрат 1мес</t>
  </si>
  <si>
    <t>За три месяца</t>
  </si>
  <si>
    <t>За 1месяц</t>
  </si>
  <si>
    <t xml:space="preserve">в счёт денег </t>
  </si>
  <si>
    <t>в наряды</t>
  </si>
  <si>
    <t>в накладняк</t>
  </si>
  <si>
    <t>материалы</t>
  </si>
  <si>
    <t>дефицит</t>
  </si>
  <si>
    <t>8</t>
  </si>
  <si>
    <t>Электроэнергия и вода по счётчикам</t>
  </si>
  <si>
    <t>Устройство горизонтальных и вертикальных узлов примыкания б=20мм пеной монтажной</t>
  </si>
  <si>
    <t>Разнорабочие 10чел</t>
  </si>
  <si>
    <t>"Работа"  *   (7*4)</t>
  </si>
  <si>
    <t>"Работа"  *</t>
  </si>
  <si>
    <t>СЕБЕСТОИМСОТЬ НА ХУДШИЙ СЦЕНАРИЙ</t>
  </si>
  <si>
    <t>к материалам</t>
  </si>
  <si>
    <t>к работам</t>
  </si>
  <si>
    <t>Электроэнергия для 4-х бытовок* 5кВт, 2-х подъёмников 11кВт, освещения и инструмента 4кВт , (48 кВт*час)</t>
  </si>
  <si>
    <t>Аренда УВР-3,5-01 для хранения раствора 2шт</t>
  </si>
  <si>
    <t>Мётла, лопаты, диски отрезные</t>
  </si>
  <si>
    <t>Перчатки каменщикам и сварщикам (летние, зимние)</t>
  </si>
  <si>
    <t>В расценках за работы учтены все необходимые расходы и затраты включая транспортные расходы, накладные расходы и прибыль</t>
  </si>
  <si>
    <t>Электроды на 800т.р. учтены в материалах на металл раздел №6</t>
  </si>
  <si>
    <t>Пиломатериал на леса и подмости, бытовку в здании</t>
  </si>
  <si>
    <t>Сварщики на 161тн металлоконструкций (0,36тн в смену) 2чел.</t>
  </si>
  <si>
    <t>В блок секциях, 158,7тн +1674шт Жбперемычки</t>
  </si>
  <si>
    <t>В парковке, 2,3тн+126шт ЖБ перемычек</t>
  </si>
  <si>
    <t>в материалы</t>
  </si>
  <si>
    <t>кладка м3</t>
  </si>
  <si>
    <t>раствор, м3</t>
  </si>
  <si>
    <t>кирпич, м3</t>
  </si>
  <si>
    <t>весь период</t>
  </si>
  <si>
    <t>в смену</t>
  </si>
  <si>
    <t>Аренда УВР-3,5-01 для хранения раствора 1шт при 1,7м3 в смену</t>
  </si>
  <si>
    <t>гипсоплита, м3</t>
  </si>
  <si>
    <t>сибит, м3</t>
  </si>
  <si>
    <t>клей, тн</t>
  </si>
  <si>
    <t>Вес, тн</t>
  </si>
  <si>
    <t>металл, тн</t>
  </si>
  <si>
    <t>Подъёмники SC200 1шт (Монтаж, демонтаж, испытания, ППР для подъёмников) аренда в мес. Либо приобрести в собственность б/у</t>
  </si>
  <si>
    <t>Предпочтетельна оплата после подписания КС-2 за этаж в течении 10-и дней</t>
  </si>
  <si>
    <t>Вывод достаточно одного такого подъёмника и 1шт УВР</t>
  </si>
  <si>
    <t>Норма трудозатрат, час</t>
  </si>
  <si>
    <t>Общее, час</t>
  </si>
  <si>
    <t>За 1мес</t>
  </si>
  <si>
    <t>чел. В смену включая сварных 2чел</t>
  </si>
  <si>
    <t>Длительность рейса подъёмника 2тн, час</t>
  </si>
  <si>
    <t>Разнорабы</t>
  </si>
  <si>
    <t>Численность персонала в смену</t>
  </si>
  <si>
    <t>Наименование показателей</t>
  </si>
  <si>
    <t>Подписание КС-2, КС-3 поэтажно</t>
  </si>
  <si>
    <t>Стоиомость договора</t>
  </si>
  <si>
    <t>Стоимость материалов</t>
  </si>
  <si>
    <t>Стоимость работ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</si>
  <si>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</si>
  <si>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</si>
  <si>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</si>
  <si>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</si>
  <si>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</si>
  <si>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</si>
  <si>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</si>
  <si>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</si>
  <si>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</si>
  <si>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</si>
  <si>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</si>
  <si>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</si>
  <si>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Авансирование материалов</t>
  </si>
  <si>
    <t>Авансирование г/п механизмов</t>
  </si>
  <si>
    <t>Авансирование работ</t>
  </si>
  <si>
    <t>Зачёт авансов</t>
  </si>
  <si>
    <t>Зачёт услуг ген.подряда 3,5%</t>
  </si>
  <si>
    <t>Зачёт гарантийных удержаний 6%</t>
  </si>
  <si>
    <t>Зачёт векселями на квартиры 20%</t>
  </si>
  <si>
    <t>Расходы по нарядам (лучший сценарий)</t>
  </si>
  <si>
    <t>Расхода по накладняку  (лучший сценарий)</t>
  </si>
  <si>
    <t>Реализация векселей</t>
  </si>
  <si>
    <t>Динамика инвестиций</t>
  </si>
  <si>
    <t>Активы компании в виде векселей</t>
  </si>
  <si>
    <t>Активы компании в виде возврата Г.У.</t>
  </si>
  <si>
    <t>Авансирование мобилизации площадки с возвратом в 3-м месяце</t>
  </si>
  <si>
    <t>Остаток живых денег (за вычетом нарядов и накладных)</t>
  </si>
  <si>
    <t>Остаток живых денег (с зачётом авансов на )</t>
  </si>
  <si>
    <t>2ПБ10-1</t>
  </si>
  <si>
    <t>2ПБ13-1</t>
  </si>
  <si>
    <t>2ПБ16-2</t>
  </si>
  <si>
    <t>2ПБ19-3</t>
  </si>
  <si>
    <t>2ПБ22-3</t>
  </si>
  <si>
    <t>2ПБ26-4</t>
  </si>
  <si>
    <t>2ПБ29-4</t>
  </si>
  <si>
    <t>3ПБ18-8</t>
  </si>
  <si>
    <t>3ПБ30-8</t>
  </si>
  <si>
    <t>угол 100х100х8, 1,4м</t>
  </si>
  <si>
    <t>СЕБЕСТОИМОСТЬ НА ЛУДШИЙ СЦЕНАРИЙ</t>
  </si>
  <si>
    <t xml:space="preserve">Стены из кирпича 250мм </t>
  </si>
  <si>
    <t>Устройство горизонтальных и вертикальных узлов примыкания б=30мм мастикой</t>
  </si>
  <si>
    <t>Перегородки пенобетонные из гипсовых пазогребневых плит 667х500х100мм</t>
  </si>
  <si>
    <t>металл для узлов креплений</t>
  </si>
  <si>
    <t>шт</t>
  </si>
  <si>
    <t>Установка ж/б перемычек</t>
  </si>
  <si>
    <t>Установка перемычек из уголка</t>
  </si>
  <si>
    <t>Установка элементов креплений пергородок</t>
  </si>
  <si>
    <t>тн</t>
  </si>
  <si>
    <t>Разнорабочие 4чел</t>
  </si>
  <si>
    <t>мин</t>
  </si>
  <si>
    <t>Электроды на 800т.р. учтены в материалах на металл раздел №3</t>
  </si>
  <si>
    <t>Электроэнергия для 4-х бытовок* 5кВт, 1-х подъёмников 11кВт, освещения и инструмента 4кВт , (35 кВт*час)</t>
  </si>
  <si>
    <t>Аренда самогруза для перегрузки материалов, только диз.топливо и машинист</t>
  </si>
  <si>
    <t xml:space="preserve">Расценками на узлы крепления, проёмы и перемычки предусмотрены все необходимые материалы, анкера БСР, заделка швов и пр. </t>
  </si>
  <si>
    <t>Предпочтительно авансирование в размере 250 000,00 на мобилизацию площадки и городка</t>
  </si>
  <si>
    <t>Предпочтительно ежемесячное авансирование 100% в размере ежемесячной потребности материалов по письму Подрядчика</t>
  </si>
  <si>
    <t>Предпочтительно условие в договор о нераспространении требований по начислению процентов на аванс согласно ст. 317.1 ГК РФ (будут взиматься как плата за пользование чужими денежными средствами, в отличие от процентов, предусмотренных статьей 395 ГК РФ, применяемых как мера ответственности за просрочку денежного обязательства), в противном случае просьба считать стоимость нашего КП увиличенным на 0,7 млн.руб.</t>
  </si>
  <si>
    <t>Устройство мин.плиты по санузлам и пазогребневым перегородкам б=60мм (звукоизоляция межквартирных перегородок)</t>
  </si>
  <si>
    <r>
      <t xml:space="preserve">В расценказ позиции п.2, п.3 объём указан </t>
    </r>
    <r>
      <rPr>
        <b/>
        <sz val="10"/>
        <color theme="1"/>
        <rFont val="Calibri"/>
        <family val="2"/>
        <charset val="204"/>
        <scheme val="minor"/>
      </rPr>
      <t xml:space="preserve">ориентировочно </t>
    </r>
    <r>
      <rPr>
        <sz val="10"/>
        <color theme="1"/>
        <rFont val="Calibri"/>
        <family val="2"/>
        <charset val="204"/>
        <scheme val="minor"/>
      </rPr>
      <t>ввиду отсутствия в проекте подсчитанного объёма и подлежит уточнению в процессе подписания договора и выполнения работ</t>
    </r>
  </si>
  <si>
    <t>В случае предоставления Заказчиком грузоподъёмных  механизмов (башенного кран) считать наше коммерческое предложение уменьшенным на 3,8млн.р.</t>
  </si>
  <si>
    <t>Окна ПВХ</t>
  </si>
  <si>
    <t>Витражи СИАЛ</t>
  </si>
  <si>
    <t>Витражи ШУКО</t>
  </si>
  <si>
    <t>Итого светопрозрачные конструкции</t>
  </si>
  <si>
    <t>Фасад 1"-9"</t>
  </si>
  <si>
    <t>Фасад 9"-1"</t>
  </si>
  <si>
    <t>Фасад С-ВВ</t>
  </si>
  <si>
    <t>Фасад ВВ-С</t>
  </si>
  <si>
    <t>Фасад 36-39</t>
  </si>
  <si>
    <t>Фасад А"-В"</t>
  </si>
  <si>
    <t>Итого площадь фасада</t>
  </si>
  <si>
    <t>Ворота</t>
  </si>
  <si>
    <t>Облицовочный кирпич</t>
  </si>
  <si>
    <t>Утепление стен Rockwool ФАСАД БАТТС б=180мм с установкой связей "Гален"</t>
  </si>
  <si>
    <t>Кладка наружных стен из облицовочного кирпича</t>
  </si>
  <si>
    <t>http://www.a-met54.ru/goods/32236998-kirpich_bezhevy_litsevoy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</si>
</sst>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0.000"/>
    <numFmt numFmtId="165" formatCode="#,##0.0"/>
  </numFmts>
  <fonts count="32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i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vertAlign val="superscript"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43" fontId="18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12" fillId="3" borderId="0" xfId="0" applyFont="1" applyFill="1"/>
    <xf numFmtId="0" fontId="14" fillId="3" borderId="0" xfId="0" applyFont="1" applyFill="1"/>
    <xf numFmtId="0" fontId="13" fillId="3" borderId="0" xfId="1" applyFont="1" applyFill="1" applyAlignment="1"/>
    <xf numFmtId="0" fontId="15" fillId="3" borderId="0" xfId="1" applyFont="1" applyFill="1" applyAlignment="1"/>
    <xf numFmtId="0" fontId="2" fillId="0" borderId="0" xfId="0" applyFont="1" applyAlignment="1">
      <alignment horizontal="left" vertical="center"/>
    </xf>
    <xf numFmtId="0" fontId="17" fillId="2" borderId="10" xfId="0" applyFont="1" applyFill="1" applyBorder="1"/>
    <xf numFmtId="0" fontId="16" fillId="2" borderId="10" xfId="0" applyFont="1" applyFill="1" applyBorder="1"/>
    <xf numFmtId="0" fontId="16" fillId="2" borderId="11" xfId="0" applyFont="1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top"/>
    </xf>
    <xf numFmtId="49" fontId="2" fillId="0" borderId="9" xfId="1" applyNumberFormat="1" applyFont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left" vertical="top" wrapText="1"/>
    </xf>
    <xf numFmtId="0" fontId="2" fillId="3" borderId="9" xfId="1" applyFont="1" applyFill="1" applyBorder="1" applyAlignment="1">
      <alignment horizontal="center" vertical="top"/>
    </xf>
    <xf numFmtId="49" fontId="19" fillId="2" borderId="14" xfId="1" applyNumberFormat="1" applyFont="1" applyFill="1" applyBorder="1" applyAlignment="1">
      <alignment horizontal="center" vertical="center"/>
    </xf>
    <xf numFmtId="49" fontId="19" fillId="2" borderId="10" xfId="1" applyNumberFormat="1" applyFont="1" applyFill="1" applyBorder="1" applyAlignment="1">
      <alignment horizontal="left" vertical="top" wrapText="1"/>
    </xf>
    <xf numFmtId="0" fontId="20" fillId="2" borderId="10" xfId="1" applyFont="1" applyFill="1" applyBorder="1" applyAlignment="1">
      <alignment horizontal="center" vertical="top"/>
    </xf>
    <xf numFmtId="43" fontId="20" fillId="2" borderId="10" xfId="2" applyFont="1" applyFill="1" applyBorder="1" applyAlignment="1">
      <alignment horizontal="left" vertical="top"/>
    </xf>
    <xf numFmtId="49" fontId="2" fillId="0" borderId="9" xfId="1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left" vertical="center"/>
    </xf>
    <xf numFmtId="4" fontId="11" fillId="4" borderId="0" xfId="1" applyNumberFormat="1" applyFont="1" applyFill="1" applyBorder="1" applyAlignment="1">
      <alignment horizontal="left" vertical="top"/>
    </xf>
    <xf numFmtId="0" fontId="2" fillId="3" borderId="10" xfId="1" applyFont="1" applyFill="1" applyBorder="1" applyAlignment="1">
      <alignment horizontal="center" vertical="top"/>
    </xf>
    <xf numFmtId="0" fontId="0" fillId="5" borderId="10" xfId="0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4" fontId="0" fillId="3" borderId="9" xfId="0" applyNumberFormat="1" applyFill="1" applyBorder="1" applyAlignment="1">
      <alignment horizontal="center" vertical="center"/>
    </xf>
    <xf numFmtId="4" fontId="0" fillId="3" borderId="1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4" fontId="17" fillId="3" borderId="10" xfId="0" applyNumberFormat="1" applyFont="1" applyFill="1" applyBorder="1" applyAlignment="1">
      <alignment horizontal="center" vertical="center"/>
    </xf>
    <xf numFmtId="4" fontId="17" fillId="2" borderId="10" xfId="0" applyNumberFormat="1" applyFont="1" applyFill="1" applyBorder="1" applyAlignment="1">
      <alignment horizontal="center" vertical="center"/>
    </xf>
    <xf numFmtId="4" fontId="0" fillId="5" borderId="10" xfId="0" applyNumberFormat="1" applyFill="1" applyBorder="1" applyAlignment="1">
      <alignment horizontal="center" vertical="center"/>
    </xf>
    <xf numFmtId="4" fontId="20" fillId="3" borderId="11" xfId="0" applyNumberFormat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top"/>
    </xf>
    <xf numFmtId="4" fontId="17" fillId="3" borderId="17" xfId="0" applyNumberFormat="1" applyFont="1" applyFill="1" applyBorder="1" applyAlignment="1">
      <alignment horizontal="center" vertical="center"/>
    </xf>
    <xf numFmtId="4" fontId="0" fillId="3" borderId="17" xfId="0" applyNumberFormat="1" applyFill="1" applyBorder="1" applyAlignment="1">
      <alignment horizontal="center" vertical="center"/>
    </xf>
    <xf numFmtId="4" fontId="20" fillId="3" borderId="18" xfId="0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top" wrapText="1"/>
    </xf>
    <xf numFmtId="43" fontId="2" fillId="3" borderId="10" xfId="2" applyFont="1" applyFill="1" applyBorder="1" applyAlignment="1">
      <alignment horizontal="left" vertical="center"/>
    </xf>
    <xf numFmtId="43" fontId="20" fillId="2" borderId="10" xfId="2" applyFont="1" applyFill="1" applyBorder="1" applyAlignment="1">
      <alignment horizontal="left" vertical="center"/>
    </xf>
    <xf numFmtId="43" fontId="2" fillId="3" borderId="17" xfId="2" applyFont="1" applyFill="1" applyBorder="1" applyAlignment="1">
      <alignment horizontal="left" vertical="center"/>
    </xf>
    <xf numFmtId="43" fontId="2" fillId="3" borderId="9" xfId="2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0" fillId="5" borderId="11" xfId="0" applyNumberFormat="1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4" fontId="0" fillId="5" borderId="0" xfId="0" applyNumberFormat="1" applyFill="1" applyBorder="1" applyAlignment="1">
      <alignment horizontal="center" vertical="center"/>
    </xf>
    <xf numFmtId="4" fontId="20" fillId="5" borderId="0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2" fillId="0" borderId="0" xfId="0" applyFont="1" applyAlignment="1">
      <alignment horizontal="left"/>
    </xf>
    <xf numFmtId="0" fontId="20" fillId="0" borderId="0" xfId="0" applyFont="1" applyBorder="1" applyAlignment="1">
      <alignment horizontal="center" vertical="center"/>
    </xf>
    <xf numFmtId="4" fontId="20" fillId="0" borderId="0" xfId="0" applyNumberFormat="1" applyFont="1"/>
    <xf numFmtId="16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3" fontId="2" fillId="0" borderId="0" xfId="0" applyNumberFormat="1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left"/>
    </xf>
    <xf numFmtId="0" fontId="20" fillId="5" borderId="0" xfId="0" applyFont="1" applyFill="1" applyBorder="1" applyAlignment="1">
      <alignment horizontal="center" vertical="center"/>
    </xf>
    <xf numFmtId="4" fontId="20" fillId="5" borderId="0" xfId="0" applyNumberFormat="1" applyFont="1" applyFill="1" applyAlignment="1">
      <alignment horizontal="center" vertical="center"/>
    </xf>
    <xf numFmtId="4" fontId="20" fillId="5" borderId="0" xfId="0" applyNumberFormat="1" applyFont="1" applyFill="1"/>
    <xf numFmtId="10" fontId="0" fillId="0" borderId="0" xfId="0" applyNumberFormat="1"/>
    <xf numFmtId="0" fontId="2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13" fillId="3" borderId="0" xfId="1" applyFont="1" applyFill="1" applyAlignment="1">
      <alignment wrapText="1"/>
    </xf>
    <xf numFmtId="0" fontId="15" fillId="3" borderId="0" xfId="1" applyFont="1" applyFill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7" fillId="2" borderId="10" xfId="0" applyFont="1" applyFill="1" applyBorder="1"/>
    <xf numFmtId="4" fontId="2" fillId="3" borderId="9" xfId="0" applyNumberFormat="1" applyFont="1" applyFill="1" applyBorder="1" applyAlignment="1">
      <alignment horizontal="center" vertical="center"/>
    </xf>
    <xf numFmtId="4" fontId="7" fillId="3" borderId="10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4" fontId="7" fillId="3" borderId="17" xfId="0" applyNumberFormat="1" applyFont="1" applyFill="1" applyBorder="1" applyAlignment="1">
      <alignment horizontal="center" vertical="center"/>
    </xf>
    <xf numFmtId="4" fontId="2" fillId="3" borderId="1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3" fillId="3" borderId="0" xfId="0" applyFont="1" applyFill="1" applyAlignment="1">
      <alignment wrapText="1"/>
    </xf>
    <xf numFmtId="0" fontId="24" fillId="3" borderId="0" xfId="0" applyFont="1" applyFill="1" applyAlignment="1">
      <alignment wrapText="1"/>
    </xf>
    <xf numFmtId="165" fontId="2" fillId="0" borderId="0" xfId="0" applyNumberFormat="1" applyFont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3" borderId="9" xfId="1" applyFont="1" applyFill="1" applyBorder="1" applyAlignment="1">
      <alignment horizontal="center" vertical="center"/>
    </xf>
    <xf numFmtId="49" fontId="20" fillId="0" borderId="0" xfId="1" applyNumberFormat="1" applyFont="1" applyBorder="1" applyAlignment="1">
      <alignment horizontal="left" vertical="center"/>
    </xf>
    <xf numFmtId="0" fontId="2" fillId="3" borderId="0" xfId="1" applyFont="1" applyFill="1" applyBorder="1" applyAlignment="1">
      <alignment horizontal="center" vertical="top"/>
    </xf>
    <xf numFmtId="43" fontId="2" fillId="3" borderId="0" xfId="2" applyFont="1" applyFill="1" applyBorder="1" applyAlignment="1">
      <alignment horizontal="left" vertical="center"/>
    </xf>
    <xf numFmtId="4" fontId="7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/>
    </xf>
    <xf numFmtId="4" fontId="20" fillId="3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0" fillId="0" borderId="13" xfId="0" applyNumberFormat="1" applyBorder="1"/>
    <xf numFmtId="0" fontId="0" fillId="0" borderId="19" xfId="0" applyBorder="1"/>
    <xf numFmtId="0" fontId="0" fillId="0" borderId="20" xfId="0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9" xfId="1" applyNumberFormat="1" applyFont="1" applyFill="1" applyBorder="1" applyAlignment="1">
      <alignment horizontal="left" vertical="center" wrapText="1"/>
    </xf>
    <xf numFmtId="49" fontId="1" fillId="0" borderId="0" xfId="1" applyNumberFormat="1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3" fontId="1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/>
    </xf>
    <xf numFmtId="4" fontId="16" fillId="0" borderId="0" xfId="0" applyNumberFormat="1" applyFont="1"/>
    <xf numFmtId="43" fontId="0" fillId="0" borderId="0" xfId="0" applyNumberFormat="1"/>
    <xf numFmtId="41" fontId="0" fillId="0" borderId="0" xfId="0" applyNumberFormat="1"/>
    <xf numFmtId="0" fontId="26" fillId="0" borderId="0" xfId="0" applyFont="1" applyAlignment="1">
      <alignment horizontal="left" wrapText="1"/>
    </xf>
    <xf numFmtId="0" fontId="16" fillId="0" borderId="0" xfId="0" applyFont="1"/>
    <xf numFmtId="43" fontId="16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4" fontId="2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4" fontId="28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Border="1"/>
    <xf numFmtId="4" fontId="29" fillId="0" borderId="1" xfId="0" applyNumberFormat="1" applyFont="1" applyBorder="1"/>
    <xf numFmtId="164" fontId="2" fillId="0" borderId="25" xfId="0" applyNumberFormat="1" applyFont="1" applyBorder="1" applyAlignment="1">
      <alignment vertical="center"/>
    </xf>
    <xf numFmtId="4" fontId="30" fillId="0" borderId="1" xfId="0" applyNumberFormat="1" applyFont="1" applyBorder="1"/>
    <xf numFmtId="4" fontId="2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31" fillId="0" borderId="0" xfId="3" applyAlignment="1" applyProtection="1"/>
    <xf numFmtId="164" fontId="2" fillId="0" borderId="1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49" fontId="20" fillId="0" borderId="16" xfId="1" applyNumberFormat="1" applyFont="1" applyBorder="1" applyAlignment="1">
      <alignment horizontal="left" vertical="center"/>
    </xf>
    <xf numFmtId="49" fontId="20" fillId="0" borderId="17" xfId="1" applyNumberFormat="1" applyFont="1" applyBorder="1" applyAlignment="1">
      <alignment horizontal="left" vertical="center"/>
    </xf>
    <xf numFmtId="49" fontId="20" fillId="0" borderId="14" xfId="1" applyNumberFormat="1" applyFont="1" applyBorder="1" applyAlignment="1">
      <alignment horizontal="left" vertical="center"/>
    </xf>
    <xf numFmtId="49" fontId="20" fillId="0" borderId="10" xfId="1" applyNumberFormat="1" applyFont="1" applyBorder="1" applyAlignment="1">
      <alignment horizontal="left" vertical="center"/>
    </xf>
    <xf numFmtId="0" fontId="23" fillId="3" borderId="0" xfId="0" applyFont="1" applyFill="1" applyAlignment="1">
      <alignment horizontal="left" vertical="top" wrapText="1"/>
    </xf>
    <xf numFmtId="0" fontId="27" fillId="3" borderId="0" xfId="0" applyFont="1" applyFill="1" applyAlignment="1">
      <alignment horizontal="left" vertical="top" wrapText="1"/>
    </xf>
    <xf numFmtId="49" fontId="20" fillId="3" borderId="13" xfId="1" applyNumberFormat="1" applyFont="1" applyFill="1" applyBorder="1" applyAlignment="1">
      <alignment horizontal="left" vertical="center"/>
    </xf>
    <xf numFmtId="49" fontId="20" fillId="3" borderId="15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left" vertical="center"/>
    </xf>
    <xf numFmtId="0" fontId="21" fillId="5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65</xdr:row>
      <xdr:rowOff>57150</xdr:rowOff>
    </xdr:from>
    <xdr:to>
      <xdr:col>16</xdr:col>
      <xdr:colOff>438150</xdr:colOff>
      <xdr:row>71</xdr:row>
      <xdr:rowOff>219075</xdr:rowOff>
    </xdr:to>
    <xdr:sp macro="" textlink="">
      <xdr:nvSpPr>
        <xdr:cNvPr id="42" name="Выгнутая вправо стрелка 41"/>
        <xdr:cNvSpPr/>
      </xdr:nvSpPr>
      <xdr:spPr>
        <a:xfrm>
          <a:off x="14268450" y="13582650"/>
          <a:ext cx="390525" cy="15811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-met54.ru/goods/32236998-kirpich_bezhevy_litsevo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2"/>
  <sheetViews>
    <sheetView tabSelected="1" topLeftCell="A52" zoomScaleNormal="100" zoomScaleSheetLayoutView="100" workbookViewId="0">
      <selection activeCell="A9" sqref="A9:J64"/>
    </sheetView>
  </sheetViews>
  <sheetFormatPr defaultRowHeight="12.75"/>
  <cols>
    <col min="1" max="1" width="5.140625" style="3" customWidth="1"/>
    <col min="2" max="2" width="38.7109375" style="74" customWidth="1"/>
    <col min="3" max="3" width="6" style="1" customWidth="1"/>
    <col min="4" max="4" width="10.5703125" style="4" customWidth="1"/>
    <col min="5" max="5" width="11.85546875" customWidth="1"/>
    <col min="6" max="6" width="11.42578125" customWidth="1"/>
    <col min="7" max="7" width="12.42578125" customWidth="1"/>
    <col min="8" max="8" width="13.7109375" customWidth="1"/>
    <col min="9" max="9" width="13.5703125" customWidth="1"/>
    <col min="10" max="10" width="15.28515625" customWidth="1"/>
    <col min="11" max="11" width="13.85546875" customWidth="1"/>
    <col min="12" max="12" width="11.7109375" customWidth="1"/>
    <col min="13" max="13" width="12.7109375" customWidth="1"/>
    <col min="14" max="14" width="12.140625" customWidth="1"/>
    <col min="15" max="15" width="13.5703125" customWidth="1"/>
    <col min="16" max="16" width="12.42578125" customWidth="1"/>
    <col min="17" max="17" width="11.42578125" customWidth="1"/>
    <col min="18" max="18" width="12.140625" customWidth="1"/>
    <col min="19" max="19" width="11.140625" customWidth="1"/>
    <col min="20" max="20" width="11.85546875" customWidth="1"/>
    <col min="21" max="21" width="11.7109375" customWidth="1"/>
    <col min="22" max="22" width="11.5703125" customWidth="1"/>
    <col min="23" max="23" width="11.7109375" customWidth="1"/>
    <col min="24" max="24" width="11.5703125" customWidth="1"/>
    <col min="25" max="25" width="10.7109375" customWidth="1"/>
    <col min="26" max="26" width="12.140625" customWidth="1"/>
    <col min="27" max="27" width="10.7109375" customWidth="1"/>
    <col min="28" max="28" width="11.140625" customWidth="1"/>
    <col min="29" max="30" width="12.28515625" customWidth="1"/>
    <col min="31" max="31" width="12.5703125" customWidth="1"/>
  </cols>
  <sheetData>
    <row r="1" spans="1:17" ht="15.75">
      <c r="A1" s="16" t="s">
        <v>18</v>
      </c>
      <c r="G1" s="5"/>
      <c r="H1" s="6"/>
      <c r="I1" s="35"/>
      <c r="J1" s="36"/>
      <c r="O1">
        <v>129790236.10011479</v>
      </c>
      <c r="P1">
        <v>49519572.119999997</v>
      </c>
    </row>
    <row r="2" spans="1:17" ht="35.25" customHeight="1">
      <c r="G2" s="37"/>
      <c r="H2" s="38"/>
      <c r="I2" s="38"/>
      <c r="J2" s="38"/>
      <c r="O2">
        <v>132014659.16</v>
      </c>
    </row>
    <row r="3" spans="1:17">
      <c r="G3" s="9"/>
      <c r="H3" s="10"/>
      <c r="I3" s="7"/>
      <c r="J3" s="8"/>
    </row>
    <row r="4" spans="1:17" ht="11.25" customHeight="1">
      <c r="G4" s="11" t="s">
        <v>6</v>
      </c>
      <c r="H4" s="11"/>
      <c r="I4" s="7"/>
      <c r="J4" s="8"/>
    </row>
    <row r="5" spans="1:17" ht="12.75" customHeight="1">
      <c r="A5" s="159" t="s">
        <v>28</v>
      </c>
      <c r="B5" s="159"/>
      <c r="C5" s="159"/>
      <c r="D5" s="159"/>
      <c r="E5" s="159"/>
      <c r="F5" s="159"/>
      <c r="G5" s="159"/>
      <c r="H5" s="159"/>
      <c r="I5" s="159"/>
      <c r="J5" s="159"/>
    </row>
    <row r="6" spans="1:17" ht="20.2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P6" s="82" t="s">
        <v>132</v>
      </c>
      <c r="Q6" s="82" t="s">
        <v>131</v>
      </c>
    </row>
    <row r="7" spans="1:17" ht="27" customHeight="1">
      <c r="A7" s="159"/>
      <c r="B7" s="159"/>
      <c r="C7" s="159"/>
      <c r="D7" s="159"/>
      <c r="E7" s="159"/>
      <c r="F7" s="159"/>
      <c r="G7" s="159"/>
      <c r="H7" s="159"/>
      <c r="I7" s="159"/>
      <c r="J7" s="159"/>
      <c r="O7" s="67">
        <f>J64</f>
        <v>145675500.19002008</v>
      </c>
      <c r="P7">
        <v>2</v>
      </c>
      <c r="Q7">
        <v>1.1000000000000001</v>
      </c>
    </row>
    <row r="8" spans="1:17" ht="18" customHeight="1"/>
    <row r="9" spans="1:17" ht="13.5" customHeight="1">
      <c r="A9" s="166" t="s">
        <v>1</v>
      </c>
      <c r="B9" s="167" t="s">
        <v>29</v>
      </c>
      <c r="C9" s="167" t="s">
        <v>2</v>
      </c>
      <c r="D9" s="168" t="s">
        <v>3</v>
      </c>
      <c r="E9" s="160" t="s">
        <v>7</v>
      </c>
      <c r="F9" s="161"/>
      <c r="G9" s="162"/>
      <c r="H9" s="160" t="s">
        <v>19</v>
      </c>
      <c r="I9" s="161"/>
      <c r="J9" s="162"/>
    </row>
    <row r="10" spans="1:17" ht="15.75" customHeight="1">
      <c r="A10" s="166"/>
      <c r="B10" s="167"/>
      <c r="C10" s="167"/>
      <c r="D10" s="169"/>
      <c r="E10" s="163"/>
      <c r="F10" s="164"/>
      <c r="G10" s="165"/>
      <c r="H10" s="163"/>
      <c r="I10" s="164"/>
      <c r="J10" s="165"/>
    </row>
    <row r="11" spans="1:17" ht="35.25" customHeight="1">
      <c r="A11" s="166"/>
      <c r="B11" s="167"/>
      <c r="C11" s="167"/>
      <c r="D11" s="170"/>
      <c r="E11" s="86" t="s">
        <v>4</v>
      </c>
      <c r="F11" s="115" t="s">
        <v>129</v>
      </c>
      <c r="G11" s="21" t="s">
        <v>14</v>
      </c>
      <c r="H11" s="21" t="s">
        <v>15</v>
      </c>
      <c r="I11" s="116" t="s">
        <v>128</v>
      </c>
      <c r="J11" s="21" t="s">
        <v>17</v>
      </c>
      <c r="K11" s="109" t="s">
        <v>108</v>
      </c>
    </row>
    <row r="12" spans="1:17" ht="13.5" thickBot="1">
      <c r="A12" s="22" t="s">
        <v>20</v>
      </c>
      <c r="B12" s="83">
        <v>2</v>
      </c>
      <c r="C12" s="22">
        <v>3</v>
      </c>
      <c r="D12" s="24">
        <v>4</v>
      </c>
      <c r="E12" s="24">
        <v>6</v>
      </c>
      <c r="F12" s="24">
        <v>7</v>
      </c>
      <c r="G12" s="24">
        <v>8</v>
      </c>
      <c r="H12" s="24">
        <v>9</v>
      </c>
      <c r="I12" s="24">
        <v>10</v>
      </c>
      <c r="J12" s="24">
        <v>11</v>
      </c>
    </row>
    <row r="13" spans="1:17" ht="13.5" thickBot="1">
      <c r="A13" s="30">
        <v>1</v>
      </c>
      <c r="B13" s="31" t="s">
        <v>47</v>
      </c>
      <c r="C13" s="32"/>
      <c r="D13" s="33"/>
      <c r="E13" s="87"/>
      <c r="F13" s="18"/>
      <c r="G13" s="18"/>
      <c r="H13" s="18"/>
      <c r="I13" s="18"/>
      <c r="J13" s="19"/>
    </row>
    <row r="14" spans="1:17" hidden="1">
      <c r="A14" s="27" t="s">
        <v>20</v>
      </c>
      <c r="B14" s="28"/>
      <c r="C14" s="29" t="s">
        <v>30</v>
      </c>
      <c r="D14" s="88">
        <f>'Себестоимость (в лудшем)'!D14</f>
        <v>0</v>
      </c>
      <c r="E14" s="88">
        <v>0</v>
      </c>
      <c r="F14" s="88" t="e">
        <f>I14/D14</f>
        <v>#DIV/0!</v>
      </c>
      <c r="G14" s="88" t="e">
        <f>E14+F14</f>
        <v>#DIV/0!</v>
      </c>
      <c r="H14" s="88">
        <f>O14*$Q$7</f>
        <v>0</v>
      </c>
      <c r="I14" s="88">
        <f>P14*$P$7</f>
        <v>0</v>
      </c>
      <c r="J14" s="88">
        <f>H14+I14</f>
        <v>0</v>
      </c>
      <c r="K14" s="67">
        <f>I14/18</f>
        <v>0</v>
      </c>
      <c r="L14">
        <f>H14/18</f>
        <v>0</v>
      </c>
    </row>
    <row r="15" spans="1:17" hidden="1">
      <c r="A15" s="25" t="s">
        <v>21</v>
      </c>
      <c r="B15" s="28"/>
      <c r="C15" s="26" t="s">
        <v>30</v>
      </c>
      <c r="D15" s="88">
        <f>'Себестоимость (в лудшем)'!D15</f>
        <v>0</v>
      </c>
      <c r="E15" s="88">
        <v>0</v>
      </c>
      <c r="F15" s="88" t="e">
        <f t="shared" ref="F15:F18" si="0">I15/D15</f>
        <v>#DIV/0!</v>
      </c>
      <c r="G15" s="88" t="e">
        <f t="shared" ref="G15:G19" si="1">E15+F15</f>
        <v>#DIV/0!</v>
      </c>
      <c r="H15" s="88">
        <f t="shared" ref="H15:H20" si="2">O15*$Q$7</f>
        <v>0</v>
      </c>
      <c r="I15" s="88">
        <f>P15*$P$7</f>
        <v>0</v>
      </c>
      <c r="J15" s="88">
        <f t="shared" ref="J15:J18" si="3">H15+I15</f>
        <v>0</v>
      </c>
      <c r="K15" s="67">
        <f t="shared" ref="K15" si="4">I15/18</f>
        <v>0</v>
      </c>
      <c r="L15">
        <f t="shared" ref="L15" si="5">H15/18</f>
        <v>0</v>
      </c>
    </row>
    <row r="16" spans="1:17">
      <c r="A16" s="25" t="s">
        <v>20</v>
      </c>
      <c r="B16" s="28" t="s">
        <v>55</v>
      </c>
      <c r="C16" s="26" t="s">
        <v>30</v>
      </c>
      <c r="D16" s="88">
        <f>'Себестоимость (в лудшем)'!D16</f>
        <v>16.600000000000001</v>
      </c>
      <c r="E16" s="88">
        <f>H16/D16</f>
        <v>3862.9635000000007</v>
      </c>
      <c r="F16" s="88">
        <f>I16/D16</f>
        <v>3000</v>
      </c>
      <c r="G16" s="88">
        <f t="shared" si="1"/>
        <v>6862.9635000000007</v>
      </c>
      <c r="H16" s="88">
        <f>O16*$Q$7</f>
        <v>64125.194100000015</v>
      </c>
      <c r="I16" s="88">
        <f>P16</f>
        <v>49800.000000000007</v>
      </c>
      <c r="J16" s="88">
        <f t="shared" si="3"/>
        <v>113925.19410000002</v>
      </c>
      <c r="K16" s="67">
        <f>I16/12</f>
        <v>4150.0000000000009</v>
      </c>
      <c r="L16">
        <f>H16/12</f>
        <v>5343.7661750000016</v>
      </c>
      <c r="O16">
        <f>((D16*400*6.2+D16*0.25*2800+D16*0.0101*32850))</f>
        <v>58295.631000000008</v>
      </c>
      <c r="P16" s="67">
        <f>'Себестоимость (в лудшем)'!I16*$P$7</f>
        <v>49800.000000000007</v>
      </c>
    </row>
    <row r="17" spans="1:17">
      <c r="A17" s="25" t="s">
        <v>21</v>
      </c>
      <c r="B17" s="28" t="s">
        <v>209</v>
      </c>
      <c r="C17" s="26" t="s">
        <v>30</v>
      </c>
      <c r="D17" s="88">
        <f>'Себестоимость (в лудшем)'!D17</f>
        <v>2568.8200000000002</v>
      </c>
      <c r="E17" s="88">
        <f>H17/D17</f>
        <v>3851.3280300000006</v>
      </c>
      <c r="F17" s="88">
        <f t="shared" si="0"/>
        <v>3000</v>
      </c>
      <c r="G17" s="88">
        <f t="shared" si="1"/>
        <v>6851.3280300000006</v>
      </c>
      <c r="H17" s="88">
        <f>O17*$Q$7</f>
        <v>9893368.4700246025</v>
      </c>
      <c r="I17" s="88">
        <f t="shared" ref="I17:I20" si="6">P17</f>
        <v>7706460.0000000009</v>
      </c>
      <c r="J17" s="88">
        <f t="shared" si="3"/>
        <v>17599828.470024604</v>
      </c>
      <c r="K17" s="67">
        <f t="shared" ref="K17:K20" si="7">I17/12</f>
        <v>642205.00000000012</v>
      </c>
      <c r="L17">
        <f t="shared" ref="L17:L20" si="8">H17/12</f>
        <v>824447.37250205025</v>
      </c>
      <c r="O17">
        <f>((D17*400*6.2+D17*0.25*2800+D17*0.009778*32850))</f>
        <v>8993971.3363860007</v>
      </c>
      <c r="P17" s="67">
        <f>'Себестоимость (в лудшем)'!I17*$P$7</f>
        <v>7706460.0000000009</v>
      </c>
    </row>
    <row r="18" spans="1:17" ht="25.5">
      <c r="A18" s="25" t="s">
        <v>22</v>
      </c>
      <c r="B18" s="28" t="s">
        <v>243</v>
      </c>
      <c r="C18" s="26" t="s">
        <v>30</v>
      </c>
      <c r="D18" s="88">
        <f>'Себестоимость (в лудшем)'!D18</f>
        <v>1088.807489999999</v>
      </c>
      <c r="E18" s="88">
        <f>H18/D18</f>
        <v>7959.4964487248426</v>
      </c>
      <c r="F18" s="88">
        <f t="shared" si="0"/>
        <v>1600</v>
      </c>
      <c r="G18" s="88">
        <f t="shared" si="1"/>
        <v>9559.4964487248435</v>
      </c>
      <c r="H18" s="88">
        <f>O18*$Q$7</f>
        <v>8666359.3500000015</v>
      </c>
      <c r="I18" s="88">
        <f t="shared" si="6"/>
        <v>1742091.9839999983</v>
      </c>
      <c r="J18" s="88">
        <f t="shared" si="3"/>
        <v>10408451.333999999</v>
      </c>
      <c r="K18" s="67">
        <f t="shared" si="7"/>
        <v>145174.33199999985</v>
      </c>
      <c r="L18">
        <f t="shared" si="8"/>
        <v>722196.61250000016</v>
      </c>
      <c r="O18">
        <f>6350*1240.71</f>
        <v>7878508.5</v>
      </c>
      <c r="P18" s="67">
        <f>'Себестоимость (в лудшем)'!I18*$P$7</f>
        <v>1742091.9839999983</v>
      </c>
    </row>
    <row r="19" spans="1:17" ht="25.5">
      <c r="A19" s="25" t="s">
        <v>23</v>
      </c>
      <c r="B19" s="28" t="s">
        <v>244</v>
      </c>
      <c r="C19" s="60" t="s">
        <v>34</v>
      </c>
      <c r="D19" s="88">
        <f>Объёмы!D326</f>
        <v>6048.9304999999949</v>
      </c>
      <c r="E19" s="88">
        <f t="shared" ref="E19" si="9">H19/D19</f>
        <v>1131.0915</v>
      </c>
      <c r="F19" s="88">
        <f>I19/D19</f>
        <v>1790</v>
      </c>
      <c r="G19" s="88">
        <f t="shared" si="1"/>
        <v>2921.0915</v>
      </c>
      <c r="H19" s="88">
        <f>O19*$Q$7</f>
        <v>6841893.8726407439</v>
      </c>
      <c r="I19" s="88">
        <f>P19</f>
        <v>10827585.594999991</v>
      </c>
      <c r="J19" s="88">
        <f>H19+I19</f>
        <v>17669479.467640735</v>
      </c>
      <c r="K19" s="67">
        <f t="shared" si="7"/>
        <v>902298.79958333261</v>
      </c>
      <c r="L19">
        <f t="shared" si="8"/>
        <v>570157.82272006199</v>
      </c>
      <c r="O19">
        <f>((D19*0.12*400*18.9+D19*0.12*0.25*2900+D19*0.0009*37850))</f>
        <v>6219903.5205824943</v>
      </c>
      <c r="P19" s="67">
        <f>'Себестоимость (в лудшем)'!I19*$P$7</f>
        <v>10827585.594999991</v>
      </c>
      <c r="Q19" s="147" t="s">
        <v>245</v>
      </c>
    </row>
    <row r="20" spans="1:17" ht="33" customHeight="1" thickBot="1">
      <c r="A20" s="25" t="s">
        <v>44</v>
      </c>
      <c r="B20" s="118" t="s">
        <v>210</v>
      </c>
      <c r="C20" s="60" t="s">
        <v>30</v>
      </c>
      <c r="D20" s="88">
        <f>'Себестоимость (в лудшем)'!D20</f>
        <v>3.6095377777777773</v>
      </c>
      <c r="E20" s="88">
        <f t="shared" ref="E20" si="10">H20/D20</f>
        <v>5829.9999999999991</v>
      </c>
      <c r="F20" s="88">
        <f t="shared" ref="F20" si="11">I20/D20</f>
        <v>9000</v>
      </c>
      <c r="G20" s="88">
        <f t="shared" ref="G20" si="12">E20+F20</f>
        <v>14830</v>
      </c>
      <c r="H20" s="88">
        <f t="shared" si="2"/>
        <v>21043.605244444439</v>
      </c>
      <c r="I20" s="88">
        <f t="shared" si="6"/>
        <v>32485.839999999997</v>
      </c>
      <c r="J20" s="88">
        <f>H20+I20</f>
        <v>53529.445244444432</v>
      </c>
      <c r="K20" s="67">
        <f t="shared" si="7"/>
        <v>2707.1533333333332</v>
      </c>
      <c r="L20">
        <f t="shared" si="8"/>
        <v>1753.63377037037</v>
      </c>
      <c r="O20">
        <f>(D20*1000/50)*265</f>
        <v>19130.550222222217</v>
      </c>
      <c r="P20" s="67">
        <f>'Себестоимость (в лудшем)'!I20*$P$7</f>
        <v>32485.839999999997</v>
      </c>
    </row>
    <row r="21" spans="1:17" ht="13.5" thickBot="1">
      <c r="A21" s="157" t="s">
        <v>24</v>
      </c>
      <c r="B21" s="158"/>
      <c r="C21" s="39"/>
      <c r="D21" s="55"/>
      <c r="E21" s="89"/>
      <c r="F21" s="90"/>
      <c r="G21" s="90"/>
      <c r="H21" s="49">
        <f>H16+H17+H18+H19+H20</f>
        <v>25486790.492009789</v>
      </c>
      <c r="I21" s="49">
        <f>I16+I17+I18+I19+I20</f>
        <v>20358423.418999989</v>
      </c>
      <c r="J21" s="49">
        <f>J16+J17+J18+J19+J20</f>
        <v>45845213.911009789</v>
      </c>
      <c r="K21" s="67"/>
    </row>
    <row r="22" spans="1:17" ht="13.5" thickBot="1">
      <c r="A22" s="30" t="s">
        <v>21</v>
      </c>
      <c r="B22" s="31" t="s">
        <v>48</v>
      </c>
      <c r="C22" s="32"/>
      <c r="D22" s="56"/>
      <c r="E22" s="91"/>
      <c r="F22" s="92"/>
      <c r="G22" s="92"/>
      <c r="H22" s="92"/>
      <c r="I22" s="92"/>
      <c r="J22" s="93"/>
      <c r="K22" s="67"/>
    </row>
    <row r="23" spans="1:17">
      <c r="A23" s="27" t="s">
        <v>20</v>
      </c>
      <c r="B23" s="28" t="s">
        <v>36</v>
      </c>
      <c r="C23" s="60" t="s">
        <v>34</v>
      </c>
      <c r="D23" s="88">
        <f>'Себестоимость (в лудшем)'!D23</f>
        <v>23667.583333333336</v>
      </c>
      <c r="E23" s="88">
        <f t="shared" ref="E23:E30" si="13">H23/D23</f>
        <v>457.23150000000004</v>
      </c>
      <c r="F23" s="88">
        <f t="shared" ref="F23:F28" si="14">I23/D23</f>
        <v>800</v>
      </c>
      <c r="G23" s="88">
        <f t="shared" ref="G23:G30" si="15">E23+F23</f>
        <v>1257.2315000000001</v>
      </c>
      <c r="H23" s="88">
        <f t="shared" ref="H23:H30" si="16">O23*$Q$7</f>
        <v>10821564.628875002</v>
      </c>
      <c r="I23" s="88">
        <f t="shared" ref="I23:I30" si="17">P23</f>
        <v>18934066.666666668</v>
      </c>
      <c r="J23" s="88">
        <f t="shared" ref="J23:J29" si="18">H23+I23</f>
        <v>29755631.29554167</v>
      </c>
      <c r="K23" s="67">
        <f t="shared" ref="K23:K30" si="19">I23/12</f>
        <v>1577838.888888889</v>
      </c>
      <c r="L23">
        <f t="shared" ref="L23:L30" si="20">H23/12</f>
        <v>901797.05240625015</v>
      </c>
      <c r="O23">
        <f>((D23*0.12*400*6.2+D23*0.12*0.25*2800+D23*0.0009*37850))</f>
        <v>9837786.026250001</v>
      </c>
      <c r="P23" s="67">
        <f>'Себестоимость (в лудшем)'!I23*$P$7</f>
        <v>18934066.666666668</v>
      </c>
    </row>
    <row r="24" spans="1:17" hidden="1">
      <c r="A24" s="25" t="s">
        <v>21</v>
      </c>
      <c r="B24" s="34"/>
      <c r="C24" s="60" t="s">
        <v>30</v>
      </c>
      <c r="D24" s="88">
        <f>'Себестоимость (в лудшем)'!D24</f>
        <v>0</v>
      </c>
      <c r="E24" s="88">
        <v>0</v>
      </c>
      <c r="F24" s="88" t="e">
        <f t="shared" si="14"/>
        <v>#DIV/0!</v>
      </c>
      <c r="G24" s="88" t="e">
        <f t="shared" si="15"/>
        <v>#DIV/0!</v>
      </c>
      <c r="H24" s="88">
        <f t="shared" si="16"/>
        <v>0</v>
      </c>
      <c r="I24" s="88">
        <f t="shared" si="17"/>
        <v>0</v>
      </c>
      <c r="J24" s="88">
        <f t="shared" si="18"/>
        <v>0</v>
      </c>
      <c r="K24" s="67">
        <f t="shared" si="19"/>
        <v>0</v>
      </c>
      <c r="L24">
        <f t="shared" si="20"/>
        <v>0</v>
      </c>
      <c r="O24">
        <f>(D24*(3950+160)+D24*2.33*89)</f>
        <v>0</v>
      </c>
    </row>
    <row r="25" spans="1:17" hidden="1">
      <c r="A25" s="27" t="s">
        <v>22</v>
      </c>
      <c r="B25" s="54"/>
      <c r="C25" s="59" t="s">
        <v>34</v>
      </c>
      <c r="D25" s="88">
        <f>'Себестоимость (в лудшем)'!D25</f>
        <v>0</v>
      </c>
      <c r="E25" s="88">
        <v>0</v>
      </c>
      <c r="F25" s="88" t="e">
        <f t="shared" si="14"/>
        <v>#DIV/0!</v>
      </c>
      <c r="G25" s="88" t="e">
        <f t="shared" si="15"/>
        <v>#DIV/0!</v>
      </c>
      <c r="H25" s="88">
        <f t="shared" si="16"/>
        <v>0</v>
      </c>
      <c r="I25" s="88">
        <f t="shared" si="17"/>
        <v>0</v>
      </c>
      <c r="J25" s="88">
        <f t="shared" si="18"/>
        <v>0</v>
      </c>
      <c r="K25" s="67">
        <f t="shared" si="19"/>
        <v>0</v>
      </c>
      <c r="L25">
        <f t="shared" si="20"/>
        <v>0</v>
      </c>
      <c r="O25">
        <f>((1.015*D25*213/(0.667*0.5)+D25*0.08*160)+D25*0.19*89)</f>
        <v>0</v>
      </c>
    </row>
    <row r="26" spans="1:17" ht="25.5">
      <c r="A26" s="25" t="s">
        <v>21</v>
      </c>
      <c r="B26" s="54" t="s">
        <v>211</v>
      </c>
      <c r="C26" s="59" t="s">
        <v>34</v>
      </c>
      <c r="D26" s="88">
        <f>'Себестоимость (в лудшем)'!D27</f>
        <v>32800</v>
      </c>
      <c r="E26" s="88">
        <f t="shared" si="13"/>
        <v>1130.7679565217391</v>
      </c>
      <c r="F26" s="88">
        <f>I26/D26</f>
        <v>600</v>
      </c>
      <c r="G26" s="88">
        <f t="shared" si="15"/>
        <v>1730.7679565217391</v>
      </c>
      <c r="H26" s="88">
        <f t="shared" si="16"/>
        <v>37089188.973913044</v>
      </c>
      <c r="I26" s="88">
        <f>P26</f>
        <v>19680000</v>
      </c>
      <c r="J26" s="88">
        <f t="shared" si="18"/>
        <v>56769188.973913044</v>
      </c>
      <c r="K26" s="67">
        <f t="shared" si="19"/>
        <v>1640000</v>
      </c>
      <c r="L26">
        <f t="shared" si="20"/>
        <v>3090765.7478260868</v>
      </c>
      <c r="O26">
        <f>((1.015*D26*328/(0.667*0.5)+D26*0.08*160)+D26*0.19*89)</f>
        <v>33717444.521739125</v>
      </c>
      <c r="P26" s="67">
        <f>'Себестоимость (в лудшем)'!I27*Коом.пред.!$P$7</f>
        <v>19680000</v>
      </c>
    </row>
    <row r="27" spans="1:17" hidden="1">
      <c r="A27" s="27" t="s">
        <v>22</v>
      </c>
      <c r="B27" s="54"/>
      <c r="C27" s="59" t="s">
        <v>34</v>
      </c>
      <c r="D27" s="88">
        <f>'Себестоимость (в лудшем)'!D26</f>
        <v>0</v>
      </c>
      <c r="E27" s="88">
        <v>0</v>
      </c>
      <c r="F27" s="88" t="e">
        <f t="shared" si="14"/>
        <v>#DIV/0!</v>
      </c>
      <c r="G27" s="88" t="e">
        <f t="shared" si="15"/>
        <v>#DIV/0!</v>
      </c>
      <c r="H27" s="88">
        <f t="shared" si="16"/>
        <v>0</v>
      </c>
      <c r="I27" s="88">
        <f t="shared" si="17"/>
        <v>19680000</v>
      </c>
      <c r="J27" s="88">
        <f t="shared" si="18"/>
        <v>19680000</v>
      </c>
      <c r="K27" s="67">
        <f t="shared" si="19"/>
        <v>1640000</v>
      </c>
      <c r="L27">
        <f t="shared" si="20"/>
        <v>0</v>
      </c>
      <c r="O27">
        <f>((D27*0.12*400*6.2+D27*0.12*0.25*2800+D27*0.0009*32850))</f>
        <v>0</v>
      </c>
      <c r="P27" s="67">
        <f>'Себестоимость (в лудшем)'!I27*$P$7</f>
        <v>19680000</v>
      </c>
    </row>
    <row r="28" spans="1:17" hidden="1">
      <c r="A28" s="25" t="s">
        <v>45</v>
      </c>
      <c r="B28" s="54"/>
      <c r="C28" s="59" t="s">
        <v>30</v>
      </c>
      <c r="D28" s="88">
        <f>'Себестоимость (в лудшем)'!D28</f>
        <v>0</v>
      </c>
      <c r="E28" s="88">
        <v>0</v>
      </c>
      <c r="F28" s="88" t="e">
        <f t="shared" si="14"/>
        <v>#DIV/0!</v>
      </c>
      <c r="G28" s="88" t="e">
        <f t="shared" ref="G28" si="21">E28+F28</f>
        <v>#DIV/0!</v>
      </c>
      <c r="H28" s="88">
        <f t="shared" si="16"/>
        <v>0</v>
      </c>
      <c r="I28" s="88">
        <f t="shared" si="17"/>
        <v>0</v>
      </c>
      <c r="J28" s="88">
        <f t="shared" ref="J28" si="22">H28+I28</f>
        <v>0</v>
      </c>
      <c r="K28" s="67">
        <f t="shared" si="19"/>
        <v>0</v>
      </c>
      <c r="L28">
        <f t="shared" si="20"/>
        <v>0</v>
      </c>
      <c r="O28">
        <f>((D28*400*6.2+D28*0.25*2800+D28*0.0081*32850))</f>
        <v>0</v>
      </c>
      <c r="P28" s="67">
        <f>'Себестоимость (в лудшем)'!I28*$P$7</f>
        <v>0</v>
      </c>
    </row>
    <row r="29" spans="1:17" ht="51">
      <c r="A29" s="27" t="s">
        <v>22</v>
      </c>
      <c r="B29" s="54" t="s">
        <v>227</v>
      </c>
      <c r="C29" s="59" t="s">
        <v>30</v>
      </c>
      <c r="D29" s="88">
        <f>'Себестоимость (в лудшем)'!D29</f>
        <v>287</v>
      </c>
      <c r="E29" s="88">
        <f t="shared" si="13"/>
        <v>5225.0000000000009</v>
      </c>
      <c r="F29" s="88">
        <f>I29/D29</f>
        <v>3600</v>
      </c>
      <c r="G29" s="88">
        <f t="shared" si="15"/>
        <v>8825</v>
      </c>
      <c r="H29" s="88">
        <f t="shared" si="16"/>
        <v>1499575.0000000002</v>
      </c>
      <c r="I29" s="88">
        <f t="shared" si="17"/>
        <v>1033200</v>
      </c>
      <c r="J29" s="88">
        <f t="shared" si="18"/>
        <v>2532775</v>
      </c>
      <c r="K29" s="67">
        <f t="shared" si="19"/>
        <v>86100</v>
      </c>
      <c r="L29">
        <f t="shared" si="20"/>
        <v>124964.58333333336</v>
      </c>
      <c r="O29">
        <f>D29*4750</f>
        <v>1363250</v>
      </c>
      <c r="P29" s="67">
        <f>'Себестоимость (в лудшем)'!I29*$P$7</f>
        <v>1033200</v>
      </c>
    </row>
    <row r="30" spans="1:17" ht="38.25">
      <c r="A30" s="25" t="s">
        <v>23</v>
      </c>
      <c r="B30" s="118" t="s">
        <v>126</v>
      </c>
      <c r="C30" s="60" t="s">
        <v>30</v>
      </c>
      <c r="D30" s="88">
        <f>'Себестоимость (в лудшем)'!D30</f>
        <v>68.001222222222211</v>
      </c>
      <c r="E30" s="88">
        <f t="shared" si="13"/>
        <v>5829.9999999999991</v>
      </c>
      <c r="F30" s="88">
        <f t="shared" ref="F30" si="23">I30/D30</f>
        <v>9000</v>
      </c>
      <c r="G30" s="88">
        <f t="shared" si="15"/>
        <v>14830</v>
      </c>
      <c r="H30" s="88">
        <f t="shared" si="16"/>
        <v>396447.12555555545</v>
      </c>
      <c r="I30" s="88">
        <f t="shared" si="17"/>
        <v>612010.99999999988</v>
      </c>
      <c r="J30" s="88">
        <f>H30+I30</f>
        <v>1008458.1255555553</v>
      </c>
      <c r="K30" s="67">
        <f t="shared" si="19"/>
        <v>51000.916666666657</v>
      </c>
      <c r="L30">
        <f t="shared" si="20"/>
        <v>33037.260462962957</v>
      </c>
      <c r="O30">
        <f>(D30*1000/50)*265</f>
        <v>360406.47777777765</v>
      </c>
      <c r="P30" s="67">
        <f>'Себестоимость (в лудшем)'!I30*$P$7</f>
        <v>612010.99999999988</v>
      </c>
    </row>
    <row r="31" spans="1:17" ht="13.5" thickBot="1">
      <c r="A31" s="151" t="s">
        <v>25</v>
      </c>
      <c r="B31" s="152"/>
      <c r="C31" s="50"/>
      <c r="D31" s="57"/>
      <c r="E31" s="94"/>
      <c r="F31" s="95"/>
      <c r="G31" s="88"/>
      <c r="H31" s="53">
        <f>H23+H26+H29+H30</f>
        <v>49806775.728343599</v>
      </c>
      <c r="I31" s="53">
        <f t="shared" ref="I31:J31" si="24">I23+I26+I29+I30</f>
        <v>40259277.666666672</v>
      </c>
      <c r="J31" s="53">
        <f t="shared" si="24"/>
        <v>90066053.395010278</v>
      </c>
      <c r="K31" s="67"/>
    </row>
    <row r="32" spans="1:17" ht="13.5" hidden="1" thickBot="1">
      <c r="A32" s="30" t="s">
        <v>22</v>
      </c>
      <c r="B32" s="31" t="s">
        <v>49</v>
      </c>
      <c r="C32" s="32"/>
      <c r="D32" s="56"/>
      <c r="E32" s="91"/>
      <c r="F32" s="92"/>
      <c r="G32" s="92"/>
      <c r="H32" s="92"/>
      <c r="I32" s="92"/>
      <c r="J32" s="93"/>
      <c r="K32" s="67"/>
    </row>
    <row r="33" spans="1:16" ht="13.5" hidden="1" thickBot="1">
      <c r="A33" s="27" t="s">
        <v>20</v>
      </c>
      <c r="B33" s="28" t="s">
        <v>49</v>
      </c>
      <c r="C33" s="29" t="s">
        <v>30</v>
      </c>
      <c r="D33" s="88">
        <f>'Себестоимость (в лудшем)'!D33</f>
        <v>0</v>
      </c>
      <c r="E33" s="88">
        <v>0</v>
      </c>
      <c r="F33" s="88" t="e">
        <f>I33/D33</f>
        <v>#DIV/0!</v>
      </c>
      <c r="G33" s="88" t="e">
        <f t="shared" ref="G33" si="25">E33+F33</f>
        <v>#DIV/0!</v>
      </c>
      <c r="H33" s="88">
        <f>O33*$Q$7</f>
        <v>0</v>
      </c>
      <c r="I33" s="88">
        <f>P33*$P$7</f>
        <v>767899.16</v>
      </c>
      <c r="J33" s="88">
        <f t="shared" ref="J33" si="26">H33+I33</f>
        <v>767899.16</v>
      </c>
      <c r="K33" s="67">
        <f>I33/18</f>
        <v>42661.064444444448</v>
      </c>
      <c r="L33">
        <f>H33/18</f>
        <v>0</v>
      </c>
      <c r="O33">
        <f>((D33*400*6.2+D33*0.25*2800+D33*0.0081*32850))</f>
        <v>0</v>
      </c>
      <c r="P33">
        <v>383949.58</v>
      </c>
    </row>
    <row r="34" spans="1:16" ht="13.5" hidden="1" thickBot="1">
      <c r="A34" s="153" t="s">
        <v>26</v>
      </c>
      <c r="B34" s="154"/>
      <c r="C34" s="39"/>
      <c r="D34" s="55"/>
      <c r="E34" s="89"/>
      <c r="F34" s="90"/>
      <c r="G34" s="90"/>
      <c r="H34" s="49">
        <f t="shared" ref="H34:I34" si="27">H33</f>
        <v>0</v>
      </c>
      <c r="I34" s="49">
        <f t="shared" si="27"/>
        <v>767899.16</v>
      </c>
      <c r="J34" s="49">
        <f>J33</f>
        <v>767899.16</v>
      </c>
      <c r="K34" s="67"/>
    </row>
    <row r="35" spans="1:16" ht="13.5" hidden="1" thickBot="1">
      <c r="A35" s="30" t="s">
        <v>23</v>
      </c>
      <c r="B35" s="31" t="s">
        <v>50</v>
      </c>
      <c r="C35" s="32"/>
      <c r="D35" s="56"/>
      <c r="E35" s="91"/>
      <c r="F35" s="92"/>
      <c r="G35" s="92"/>
      <c r="H35" s="92"/>
      <c r="I35" s="92"/>
      <c r="J35" s="93"/>
      <c r="K35" s="67"/>
    </row>
    <row r="36" spans="1:16" hidden="1">
      <c r="A36" s="27" t="s">
        <v>20</v>
      </c>
      <c r="B36" s="28" t="s">
        <v>51</v>
      </c>
      <c r="C36" s="29" t="s">
        <v>34</v>
      </c>
      <c r="D36" s="88">
        <f>'Себестоимость (в лудшем)'!D36</f>
        <v>0</v>
      </c>
      <c r="E36" s="88">
        <v>0</v>
      </c>
      <c r="F36" s="88" t="e">
        <f>I36/D36</f>
        <v>#DIV/0!</v>
      </c>
      <c r="G36" s="88" t="e">
        <f>E36+F36</f>
        <v>#DIV/0!</v>
      </c>
      <c r="H36" s="88">
        <f t="shared" ref="H36:H37" si="28">O36*$Q$7</f>
        <v>0</v>
      </c>
      <c r="I36" s="88">
        <f>P36/1.031</f>
        <v>1892100.8147429682</v>
      </c>
      <c r="J36" s="88">
        <f t="shared" ref="J36" si="29">H36+I36</f>
        <v>1892100.8147429682</v>
      </c>
      <c r="K36" s="67">
        <f>I36/18</f>
        <v>105116.71193016489</v>
      </c>
      <c r="L36">
        <f>H36/18</f>
        <v>0</v>
      </c>
      <c r="O36">
        <f>((D36*0.12*400*6.2+D36*0.12*0.25*2800+D36*0.0009*32850))</f>
        <v>0</v>
      </c>
      <c r="P36">
        <v>1950755.94</v>
      </c>
    </row>
    <row r="37" spans="1:16" ht="39" hidden="1" thickBot="1">
      <c r="A37" s="25" t="s">
        <v>21</v>
      </c>
      <c r="B37" s="118" t="s">
        <v>126</v>
      </c>
      <c r="C37" s="60" t="s">
        <v>30</v>
      </c>
      <c r="D37" s="88">
        <f>'Себестоимость (в лудшем)'!D37</f>
        <v>0</v>
      </c>
      <c r="E37" s="88">
        <v>0</v>
      </c>
      <c r="F37" s="88" t="e">
        <f t="shared" ref="F37" si="30">I37/D37</f>
        <v>#DIV/0!</v>
      </c>
      <c r="G37" s="88" t="e">
        <f t="shared" ref="G37" si="31">E37+F37</f>
        <v>#DIV/0!</v>
      </c>
      <c r="H37" s="88">
        <f t="shared" si="28"/>
        <v>0</v>
      </c>
      <c r="I37" s="88">
        <f t="shared" ref="I37" si="32">P37*$P$7</f>
        <v>0</v>
      </c>
      <c r="J37" s="88">
        <f>H37+I37</f>
        <v>0</v>
      </c>
      <c r="K37" s="67">
        <f t="shared" ref="K37" si="33">I37/18</f>
        <v>0</v>
      </c>
      <c r="L37">
        <f t="shared" ref="L37" si="34">H37/18</f>
        <v>0</v>
      </c>
      <c r="O37">
        <f>(D37*1000/50)*265</f>
        <v>0</v>
      </c>
      <c r="P37">
        <f>(D37/0.02/0.3)*30</f>
        <v>0</v>
      </c>
    </row>
    <row r="38" spans="1:16" ht="13.5" hidden="1" thickBot="1">
      <c r="A38" s="153" t="s">
        <v>52</v>
      </c>
      <c r="B38" s="154"/>
      <c r="C38" s="39"/>
      <c r="D38" s="55"/>
      <c r="E38" s="89"/>
      <c r="F38" s="90"/>
      <c r="G38" s="90"/>
      <c r="H38" s="49">
        <f>H36+H37</f>
        <v>0</v>
      </c>
      <c r="I38" s="49">
        <f>I36+I37</f>
        <v>1892100.8147429682</v>
      </c>
      <c r="J38" s="49">
        <f>J36+J37</f>
        <v>1892100.8147429682</v>
      </c>
      <c r="K38" s="67"/>
    </row>
    <row r="39" spans="1:16" ht="13.5" hidden="1" thickBot="1">
      <c r="A39" s="30" t="s">
        <v>44</v>
      </c>
      <c r="B39" s="31" t="s">
        <v>53</v>
      </c>
      <c r="C39" s="32"/>
      <c r="D39" s="56"/>
      <c r="E39" s="91"/>
      <c r="F39" s="92"/>
      <c r="G39" s="92"/>
      <c r="H39" s="92"/>
      <c r="I39" s="92"/>
      <c r="J39" s="93"/>
      <c r="K39" s="67"/>
    </row>
    <row r="40" spans="1:16" hidden="1">
      <c r="A40" s="27" t="s">
        <v>20</v>
      </c>
      <c r="B40" s="28" t="s">
        <v>36</v>
      </c>
      <c r="C40" s="60" t="s">
        <v>34</v>
      </c>
      <c r="D40" s="88">
        <f>'Себестоимость (в лудшем)'!D40</f>
        <v>0</v>
      </c>
      <c r="E40" s="88">
        <v>0</v>
      </c>
      <c r="F40" s="88" t="e">
        <f t="shared" ref="F40:F45" si="35">I40/D40</f>
        <v>#DIV/0!</v>
      </c>
      <c r="G40" s="88" t="e">
        <f t="shared" ref="G40:G47" si="36">E40+F40</f>
        <v>#DIV/0!</v>
      </c>
      <c r="H40" s="88">
        <f t="shared" ref="H40:H47" si="37">O40*$Q$7</f>
        <v>0</v>
      </c>
      <c r="I40" s="88">
        <f t="shared" ref="I40:I47" si="38">P40*$P$7</f>
        <v>2207723.36</v>
      </c>
      <c r="J40" s="88">
        <f t="shared" ref="J40:J46" si="39">H40+I40</f>
        <v>2207723.36</v>
      </c>
      <c r="K40" s="67">
        <f t="shared" ref="K40:K47" si="40">I40/18</f>
        <v>122651.29777777777</v>
      </c>
      <c r="L40">
        <f t="shared" ref="L40:L47" si="41">H40/18</f>
        <v>0</v>
      </c>
      <c r="O40">
        <f>((D40*0.12*400*6.2+D40*0.12*0.25*2800+D40*0.0009*32850))</f>
        <v>0</v>
      </c>
      <c r="P40">
        <v>1103861.68</v>
      </c>
    </row>
    <row r="41" spans="1:16" ht="25.5" hidden="1">
      <c r="A41" s="25" t="s">
        <v>21</v>
      </c>
      <c r="B41" s="28" t="s">
        <v>38</v>
      </c>
      <c r="C41" s="60" t="s">
        <v>30</v>
      </c>
      <c r="D41" s="88">
        <f>'Себестоимость (в лудшем)'!D41</f>
        <v>0</v>
      </c>
      <c r="E41" s="88">
        <v>0</v>
      </c>
      <c r="F41" s="88" t="e">
        <f t="shared" si="35"/>
        <v>#DIV/0!</v>
      </c>
      <c r="G41" s="88" t="e">
        <f t="shared" si="36"/>
        <v>#DIV/0!</v>
      </c>
      <c r="H41" s="88">
        <f t="shared" si="37"/>
        <v>0</v>
      </c>
      <c r="I41" s="88">
        <f t="shared" si="38"/>
        <v>90409.24</v>
      </c>
      <c r="J41" s="88">
        <f t="shared" si="39"/>
        <v>90409.24</v>
      </c>
      <c r="K41" s="67">
        <f t="shared" si="40"/>
        <v>5022.7355555555559</v>
      </c>
      <c r="L41">
        <f t="shared" si="41"/>
        <v>0</v>
      </c>
      <c r="O41">
        <f>(D41*(3950+160)+D41*2.33*89)</f>
        <v>0</v>
      </c>
      <c r="P41">
        <v>45204.62</v>
      </c>
    </row>
    <row r="42" spans="1:16" hidden="1">
      <c r="A42" s="27" t="s">
        <v>22</v>
      </c>
      <c r="B42" s="28" t="s">
        <v>54</v>
      </c>
      <c r="C42" s="59" t="s">
        <v>30</v>
      </c>
      <c r="D42" s="88">
        <f>'Себестоимость (в лудшем)'!D42</f>
        <v>0</v>
      </c>
      <c r="E42" s="88">
        <v>0</v>
      </c>
      <c r="F42" s="88" t="e">
        <f t="shared" si="35"/>
        <v>#DIV/0!</v>
      </c>
      <c r="G42" s="88" t="e">
        <f t="shared" si="36"/>
        <v>#DIV/0!</v>
      </c>
      <c r="H42" s="88">
        <f t="shared" si="37"/>
        <v>0</v>
      </c>
      <c r="I42" s="88">
        <f t="shared" si="38"/>
        <v>409240.52</v>
      </c>
      <c r="J42" s="88">
        <f t="shared" si="39"/>
        <v>409240.52</v>
      </c>
      <c r="K42" s="67">
        <f t="shared" si="40"/>
        <v>22735.584444444445</v>
      </c>
      <c r="L42">
        <f t="shared" si="41"/>
        <v>0</v>
      </c>
      <c r="O42">
        <f>((D42*400*6.2+D42*0.25*2800+D42*0.0081*32850))</f>
        <v>0</v>
      </c>
      <c r="P42">
        <v>204620.26</v>
      </c>
    </row>
    <row r="43" spans="1:16" hidden="1">
      <c r="A43" s="25" t="s">
        <v>23</v>
      </c>
      <c r="B43" s="28" t="s">
        <v>55</v>
      </c>
      <c r="C43" s="59" t="s">
        <v>30</v>
      </c>
      <c r="D43" s="88">
        <f>'Себестоимость (в лудшем)'!D43</f>
        <v>0</v>
      </c>
      <c r="E43" s="88">
        <v>0</v>
      </c>
      <c r="F43" s="88" t="e">
        <f t="shared" si="35"/>
        <v>#DIV/0!</v>
      </c>
      <c r="G43" s="88" t="e">
        <f t="shared" si="36"/>
        <v>#DIV/0!</v>
      </c>
      <c r="H43" s="88">
        <f t="shared" si="37"/>
        <v>0</v>
      </c>
      <c r="I43" s="88">
        <f t="shared" si="38"/>
        <v>13407.16</v>
      </c>
      <c r="J43" s="88">
        <f t="shared" si="39"/>
        <v>13407.16</v>
      </c>
      <c r="K43" s="67">
        <f t="shared" si="40"/>
        <v>744.84222222222218</v>
      </c>
      <c r="L43">
        <f t="shared" si="41"/>
        <v>0</v>
      </c>
      <c r="O43">
        <f>((D43*400*6.2+D43*0.25*2800+D43*0.0081*32850))</f>
        <v>0</v>
      </c>
      <c r="P43">
        <v>6703.58</v>
      </c>
    </row>
    <row r="44" spans="1:16" ht="25.5" hidden="1">
      <c r="A44" s="27" t="s">
        <v>44</v>
      </c>
      <c r="B44" s="28" t="s">
        <v>66</v>
      </c>
      <c r="C44" s="59" t="s">
        <v>30</v>
      </c>
      <c r="D44" s="88">
        <f>'Себестоимость (в лудшем)'!D44</f>
        <v>0</v>
      </c>
      <c r="E44" s="88">
        <v>0</v>
      </c>
      <c r="F44" s="88" t="e">
        <f t="shared" si="35"/>
        <v>#DIV/0!</v>
      </c>
      <c r="G44" s="88" t="e">
        <f t="shared" si="36"/>
        <v>#DIV/0!</v>
      </c>
      <c r="H44" s="88">
        <f t="shared" si="37"/>
        <v>0</v>
      </c>
      <c r="I44" s="88">
        <f t="shared" si="38"/>
        <v>1751086.96</v>
      </c>
      <c r="J44" s="88">
        <f t="shared" si="39"/>
        <v>1751086.96</v>
      </c>
      <c r="K44" s="67">
        <f t="shared" si="40"/>
        <v>97282.608888888892</v>
      </c>
      <c r="L44">
        <f t="shared" si="41"/>
        <v>0</v>
      </c>
      <c r="O44">
        <f>(D44*(3950+160)+D44*2.33*89)</f>
        <v>0</v>
      </c>
      <c r="P44">
        <v>875543.48</v>
      </c>
    </row>
    <row r="45" spans="1:16" hidden="1">
      <c r="A45" s="25" t="s">
        <v>45</v>
      </c>
      <c r="B45" s="54" t="s">
        <v>57</v>
      </c>
      <c r="C45" s="59" t="s">
        <v>30</v>
      </c>
      <c r="D45" s="88">
        <f>'Себестоимость (в лудшем)'!D45</f>
        <v>0</v>
      </c>
      <c r="E45" s="88">
        <v>0</v>
      </c>
      <c r="F45" s="88" t="e">
        <f t="shared" si="35"/>
        <v>#DIV/0!</v>
      </c>
      <c r="G45" s="88" t="e">
        <f t="shared" si="36"/>
        <v>#DIV/0!</v>
      </c>
      <c r="H45" s="88">
        <f t="shared" si="37"/>
        <v>0</v>
      </c>
      <c r="I45" s="88">
        <f t="shared" si="38"/>
        <v>62695.76</v>
      </c>
      <c r="J45" s="88">
        <f t="shared" si="39"/>
        <v>62695.76</v>
      </c>
      <c r="K45" s="67">
        <f t="shared" si="40"/>
        <v>3483.097777777778</v>
      </c>
      <c r="L45">
        <f t="shared" si="41"/>
        <v>0</v>
      </c>
      <c r="O45">
        <f>((D45*400*6.2+D45*0.25*2800+D45*0.0081*32850))</f>
        <v>0</v>
      </c>
      <c r="P45">
        <v>31347.88</v>
      </c>
    </row>
    <row r="46" spans="1:16" hidden="1">
      <c r="A46" s="27" t="s">
        <v>46</v>
      </c>
      <c r="B46" s="54" t="s">
        <v>56</v>
      </c>
      <c r="C46" s="59" t="s">
        <v>34</v>
      </c>
      <c r="D46" s="88">
        <f>'Себестоимость (в лудшем)'!D46</f>
        <v>0</v>
      </c>
      <c r="E46" s="88">
        <v>0</v>
      </c>
      <c r="F46" s="88" t="e">
        <f>I46/D46</f>
        <v>#DIV/0!</v>
      </c>
      <c r="G46" s="88" t="e">
        <f t="shared" si="36"/>
        <v>#DIV/0!</v>
      </c>
      <c r="H46" s="88">
        <f t="shared" si="37"/>
        <v>0</v>
      </c>
      <c r="I46" s="88">
        <f t="shared" si="38"/>
        <v>128490.2</v>
      </c>
      <c r="J46" s="88">
        <f t="shared" si="39"/>
        <v>128490.2</v>
      </c>
      <c r="K46" s="67">
        <f t="shared" si="40"/>
        <v>7138.344444444444</v>
      </c>
      <c r="L46">
        <f t="shared" si="41"/>
        <v>0</v>
      </c>
      <c r="O46">
        <f>((D46*0.12*400*6.2+D46*0.12*0.25*2800+D46*0.0009*32850))</f>
        <v>0</v>
      </c>
      <c r="P46">
        <v>64245.1</v>
      </c>
    </row>
    <row r="47" spans="1:16" ht="38.25" hidden="1">
      <c r="A47" s="25" t="s">
        <v>124</v>
      </c>
      <c r="B47" s="118" t="s">
        <v>126</v>
      </c>
      <c r="C47" s="60" t="s">
        <v>30</v>
      </c>
      <c r="D47" s="88">
        <f>'Себестоимость (в лудшем)'!D47</f>
        <v>0</v>
      </c>
      <c r="E47" s="88">
        <v>0</v>
      </c>
      <c r="F47" s="88" t="e">
        <f t="shared" ref="F47" si="42">I47/D47</f>
        <v>#DIV/0!</v>
      </c>
      <c r="G47" s="88" t="e">
        <f t="shared" si="36"/>
        <v>#DIV/0!</v>
      </c>
      <c r="H47" s="88">
        <f t="shared" si="37"/>
        <v>0</v>
      </c>
      <c r="I47" s="88">
        <f t="shared" si="38"/>
        <v>0</v>
      </c>
      <c r="J47" s="88">
        <f>H47+I47</f>
        <v>0</v>
      </c>
      <c r="K47" s="67">
        <f t="shared" si="40"/>
        <v>0</v>
      </c>
      <c r="L47">
        <f t="shared" si="41"/>
        <v>0</v>
      </c>
      <c r="O47">
        <f>(D47*1000/50)*265</f>
        <v>0</v>
      </c>
      <c r="P47">
        <f>(D47/0.02/0.3)*30</f>
        <v>0</v>
      </c>
    </row>
    <row r="48" spans="1:16" ht="13.5" hidden="1" thickBot="1">
      <c r="A48" s="151" t="s">
        <v>59</v>
      </c>
      <c r="B48" s="152"/>
      <c r="C48" s="50"/>
      <c r="D48" s="57"/>
      <c r="E48" s="94"/>
      <c r="F48" s="95"/>
      <c r="G48" s="88"/>
      <c r="H48" s="53">
        <f>SUM(H40:H47)</f>
        <v>0</v>
      </c>
      <c r="I48" s="53">
        <f>SUM(I40:I47)</f>
        <v>4663053.2</v>
      </c>
      <c r="J48" s="53">
        <f>SUM(J40:J47)</f>
        <v>4663053.2</v>
      </c>
      <c r="K48" s="67"/>
    </row>
    <row r="49" spans="1:16" ht="13.5" thickBot="1">
      <c r="A49" s="30" t="s">
        <v>22</v>
      </c>
      <c r="B49" s="31" t="s">
        <v>58</v>
      </c>
      <c r="C49" s="32"/>
      <c r="D49" s="56"/>
      <c r="E49" s="91"/>
      <c r="F49" s="92"/>
      <c r="G49" s="92"/>
      <c r="H49" s="92"/>
      <c r="I49" s="92"/>
      <c r="J49" s="93"/>
      <c r="K49" s="67"/>
    </row>
    <row r="50" spans="1:16">
      <c r="A50" s="27" t="s">
        <v>20</v>
      </c>
      <c r="B50" s="28" t="s">
        <v>214</v>
      </c>
      <c r="C50" s="29" t="s">
        <v>213</v>
      </c>
      <c r="D50" s="88">
        <f>'Себестоимость (в лудшем)'!D50</f>
        <v>2764</v>
      </c>
      <c r="E50" s="88">
        <f>H50/D50</f>
        <v>420.35202604920403</v>
      </c>
      <c r="F50" s="88">
        <f>I50/D50</f>
        <v>300</v>
      </c>
      <c r="G50" s="88">
        <f>E50+F50</f>
        <v>720.35202604920403</v>
      </c>
      <c r="H50" s="88">
        <f>O50*$Q$7</f>
        <v>1161853</v>
      </c>
      <c r="I50" s="88">
        <f t="shared" ref="I50:I52" si="43">P50</f>
        <v>829200</v>
      </c>
      <c r="J50" s="88">
        <f t="shared" ref="J50:J51" si="44">H50+I50</f>
        <v>1991053</v>
      </c>
      <c r="K50" s="67">
        <f t="shared" ref="K50:K52" si="45">I50/12</f>
        <v>69100</v>
      </c>
      <c r="L50">
        <f t="shared" ref="L50:L52" si="46">H50/12</f>
        <v>96821.083333333328</v>
      </c>
      <c r="O50" s="67">
        <f>Объёмы!D10</f>
        <v>1056230</v>
      </c>
      <c r="P50" s="67">
        <f>'Себестоимость (в лудшем)'!I50*$P$7</f>
        <v>829200</v>
      </c>
    </row>
    <row r="51" spans="1:16">
      <c r="A51" s="27" t="s">
        <v>21</v>
      </c>
      <c r="B51" s="28" t="s">
        <v>215</v>
      </c>
      <c r="C51" s="29" t="s">
        <v>217</v>
      </c>
      <c r="D51" s="88">
        <f>'Себестоимость (в лудшем)'!D51</f>
        <v>21.28</v>
      </c>
      <c r="E51" s="88">
        <f>H51/D51</f>
        <v>48950</v>
      </c>
      <c r="F51" s="88">
        <f>I51/D51</f>
        <v>39000</v>
      </c>
      <c r="G51" s="88">
        <f>E51+F51</f>
        <v>87950</v>
      </c>
      <c r="H51" s="88">
        <f t="shared" ref="H51" si="47">O51*$Q$7</f>
        <v>1041656.0000000001</v>
      </c>
      <c r="I51" s="88">
        <f t="shared" si="43"/>
        <v>829920</v>
      </c>
      <c r="J51" s="88">
        <f t="shared" si="44"/>
        <v>1871576</v>
      </c>
      <c r="K51" s="67">
        <f t="shared" si="45"/>
        <v>69160</v>
      </c>
      <c r="L51">
        <f t="shared" si="46"/>
        <v>86804.666666666672</v>
      </c>
      <c r="O51" s="67">
        <f>D51*44500</f>
        <v>946960</v>
      </c>
      <c r="P51" s="67">
        <f>'Себестоимость (в лудшем)'!I51*$P$7</f>
        <v>829920</v>
      </c>
    </row>
    <row r="52" spans="1:16" ht="15" customHeight="1" thickBot="1">
      <c r="A52" s="27" t="s">
        <v>22</v>
      </c>
      <c r="B52" s="28" t="s">
        <v>216</v>
      </c>
      <c r="C52" s="29" t="s">
        <v>217</v>
      </c>
      <c r="D52" s="88">
        <f>'Себестоимость (в лудшем)'!D52</f>
        <v>6.0572799999999996</v>
      </c>
      <c r="E52" s="88">
        <f>H52/D52</f>
        <v>62700.000000000007</v>
      </c>
      <c r="F52" s="88">
        <f>I52/D52</f>
        <v>48000.000000000007</v>
      </c>
      <c r="G52" s="88">
        <f>E52+F52</f>
        <v>110700.00000000001</v>
      </c>
      <c r="H52" s="88">
        <f t="shared" ref="H52" si="48">O52*$Q$7</f>
        <v>379791.45600000001</v>
      </c>
      <c r="I52" s="88">
        <f t="shared" si="43"/>
        <v>290749.44</v>
      </c>
      <c r="J52" s="88">
        <f t="shared" ref="J52" si="49">H52+I52</f>
        <v>670540.89599999995</v>
      </c>
      <c r="K52" s="67">
        <f t="shared" si="45"/>
        <v>24229.119999999999</v>
      </c>
      <c r="L52">
        <f t="shared" si="46"/>
        <v>31649.288</v>
      </c>
      <c r="O52" s="67">
        <f>D52*57000</f>
        <v>345264.95999999996</v>
      </c>
      <c r="P52" s="67">
        <f>'Себестоимость (в лудшем)'!I52*$P$7</f>
        <v>290749.44</v>
      </c>
    </row>
    <row r="53" spans="1:16" ht="13.5" thickBot="1">
      <c r="A53" s="153" t="s">
        <v>26</v>
      </c>
      <c r="B53" s="154"/>
      <c r="C53" s="39"/>
      <c r="D53" s="55"/>
      <c r="E53" s="89"/>
      <c r="F53" s="90"/>
      <c r="G53" s="90"/>
      <c r="H53" s="49">
        <f>H50+H51+H52</f>
        <v>2583300.4560000002</v>
      </c>
      <c r="I53" s="49">
        <f t="shared" ref="I53:J53" si="50">I50+I51+I52</f>
        <v>1949869.44</v>
      </c>
      <c r="J53" s="49">
        <f t="shared" si="50"/>
        <v>4533169.8959999997</v>
      </c>
    </row>
    <row r="54" spans="1:16" ht="13.5" thickBot="1">
      <c r="A54" s="30" t="s">
        <v>23</v>
      </c>
      <c r="B54" s="31" t="s">
        <v>94</v>
      </c>
      <c r="C54" s="32"/>
      <c r="D54" s="56"/>
      <c r="E54" s="91"/>
      <c r="F54" s="92"/>
      <c r="G54" s="92"/>
      <c r="H54" s="92"/>
      <c r="I54" s="92"/>
      <c r="J54" s="93"/>
      <c r="K54" s="67"/>
    </row>
    <row r="55" spans="1:16" ht="38.25">
      <c r="A55" s="27" t="s">
        <v>20</v>
      </c>
      <c r="B55" s="28" t="s">
        <v>95</v>
      </c>
      <c r="C55" s="102" t="s">
        <v>30</v>
      </c>
      <c r="D55" s="58">
        <v>60</v>
      </c>
      <c r="E55" s="88">
        <f>H55/D55</f>
        <v>2216.0321333333336</v>
      </c>
      <c r="F55" s="88">
        <f>I55/D55</f>
        <v>3359.9516666666668</v>
      </c>
      <c r="G55" s="88">
        <f>E55+F55</f>
        <v>5575.9838</v>
      </c>
      <c r="H55" s="88">
        <f>O55*$Q$7</f>
        <v>132961.92800000001</v>
      </c>
      <c r="I55" s="88">
        <f t="shared" ref="I55:I62" si="51">P55</f>
        <v>201597.1</v>
      </c>
      <c r="J55" s="88">
        <f t="shared" ref="J55" si="52">H55+I55</f>
        <v>334559.02800000005</v>
      </c>
      <c r="K55" s="67">
        <f t="shared" ref="K55:K62" si="53">I55/12</f>
        <v>16799.758333333335</v>
      </c>
      <c r="L55">
        <f t="shared" ref="L55:L62" si="54">H55/12</f>
        <v>11080.160666666668</v>
      </c>
      <c r="O55">
        <f>120874.48</f>
        <v>120874.48</v>
      </c>
      <c r="P55">
        <v>201597.1</v>
      </c>
    </row>
    <row r="56" spans="1:16" ht="25.5">
      <c r="A56" s="27" t="s">
        <v>21</v>
      </c>
      <c r="B56" s="28" t="s">
        <v>91</v>
      </c>
      <c r="C56" s="102" t="s">
        <v>92</v>
      </c>
      <c r="D56" s="58">
        <f>'Себестоимость (в лудшем)'!D59</f>
        <v>1296</v>
      </c>
      <c r="E56" s="88">
        <f t="shared" ref="E56:E61" si="55">H56/D56</f>
        <v>0</v>
      </c>
      <c r="F56" s="88">
        <f t="shared" ref="F56:F61" si="56">I56/D56</f>
        <v>1500</v>
      </c>
      <c r="G56" s="88">
        <f>E56+F56</f>
        <v>1500</v>
      </c>
      <c r="H56" s="88">
        <f t="shared" ref="H56:H61" si="57">O56</f>
        <v>0</v>
      </c>
      <c r="I56" s="88">
        <f t="shared" si="51"/>
        <v>1944000</v>
      </c>
      <c r="J56" s="88">
        <f t="shared" ref="J56:J57" si="58">H56+I56</f>
        <v>1944000</v>
      </c>
      <c r="K56" s="67">
        <f t="shared" si="53"/>
        <v>162000</v>
      </c>
      <c r="L56">
        <f t="shared" si="54"/>
        <v>0</v>
      </c>
      <c r="O56">
        <v>0</v>
      </c>
      <c r="P56">
        <f>'Себестоимость (в лудшем)'!J59*2.5</f>
        <v>1944000</v>
      </c>
    </row>
    <row r="57" spans="1:16" ht="25.5">
      <c r="A57" s="27" t="s">
        <v>22</v>
      </c>
      <c r="B57" s="28" t="s">
        <v>96</v>
      </c>
      <c r="C57" s="102" t="s">
        <v>67</v>
      </c>
      <c r="D57" s="58">
        <f>'Себестоимость (в лудшем)'!D57</f>
        <v>12</v>
      </c>
      <c r="E57" s="88">
        <f t="shared" si="55"/>
        <v>0</v>
      </c>
      <c r="F57" s="88">
        <f t="shared" si="56"/>
        <v>153333.33333333334</v>
      </c>
      <c r="G57" s="88">
        <f>E57+F57</f>
        <v>153333.33333333334</v>
      </c>
      <c r="H57" s="88">
        <f t="shared" si="57"/>
        <v>0</v>
      </c>
      <c r="I57" s="88">
        <f t="shared" si="51"/>
        <v>1840000</v>
      </c>
      <c r="J57" s="88">
        <f t="shared" si="58"/>
        <v>1840000</v>
      </c>
      <c r="K57" s="67">
        <f t="shared" si="53"/>
        <v>153333.33333333334</v>
      </c>
      <c r="L57">
        <f t="shared" si="54"/>
        <v>0</v>
      </c>
      <c r="O57">
        <v>0</v>
      </c>
      <c r="P57" s="67">
        <f>'Себестоимость (в лудшем)'!J57</f>
        <v>1840000</v>
      </c>
    </row>
    <row r="58" spans="1:16" ht="27" customHeight="1">
      <c r="A58" s="27" t="s">
        <v>23</v>
      </c>
      <c r="B58" s="28" t="s">
        <v>134</v>
      </c>
      <c r="C58" s="102" t="s">
        <v>67</v>
      </c>
      <c r="D58" s="58">
        <f>'Себестоимость (в лудшем)'!D60</f>
        <v>12</v>
      </c>
      <c r="E58" s="88">
        <f t="shared" si="55"/>
        <v>0</v>
      </c>
      <c r="F58" s="88">
        <f t="shared" si="56"/>
        <v>30000</v>
      </c>
      <c r="G58" s="88">
        <f>E58+F58</f>
        <v>30000</v>
      </c>
      <c r="H58" s="88">
        <f t="shared" si="57"/>
        <v>0</v>
      </c>
      <c r="I58" s="88">
        <f t="shared" si="51"/>
        <v>360000</v>
      </c>
      <c r="J58" s="88">
        <f t="shared" ref="J58:J60" si="59">H58+I58</f>
        <v>360000</v>
      </c>
      <c r="K58" s="67">
        <f t="shared" si="53"/>
        <v>30000</v>
      </c>
      <c r="L58">
        <f t="shared" si="54"/>
        <v>0</v>
      </c>
      <c r="O58">
        <v>0</v>
      </c>
      <c r="P58" s="67">
        <f>'Себестоимость (в лудшем)'!J60</f>
        <v>360000</v>
      </c>
    </row>
    <row r="59" spans="1:16">
      <c r="A59" s="27" t="s">
        <v>44</v>
      </c>
      <c r="B59" s="28" t="s">
        <v>97</v>
      </c>
      <c r="C59" s="102" t="s">
        <v>67</v>
      </c>
      <c r="D59" s="58">
        <f>'Себестоимость (в лудшем)'!D58</f>
        <v>12</v>
      </c>
      <c r="E59" s="88">
        <f t="shared" si="55"/>
        <v>0</v>
      </c>
      <c r="F59" s="88">
        <f t="shared" si="56"/>
        <v>30000</v>
      </c>
      <c r="G59" s="88">
        <f>E59+F59</f>
        <v>30000</v>
      </c>
      <c r="H59" s="88">
        <f t="shared" si="57"/>
        <v>0</v>
      </c>
      <c r="I59" s="88">
        <f t="shared" si="51"/>
        <v>360000</v>
      </c>
      <c r="J59" s="88">
        <f t="shared" si="59"/>
        <v>360000</v>
      </c>
      <c r="K59" s="67">
        <f t="shared" si="53"/>
        <v>30000</v>
      </c>
      <c r="L59">
        <f t="shared" si="54"/>
        <v>0</v>
      </c>
      <c r="O59">
        <v>0</v>
      </c>
      <c r="P59" s="67">
        <f>'Себестоимость (в лудшем)'!J58</f>
        <v>360000</v>
      </c>
    </row>
    <row r="60" spans="1:16" ht="25.5">
      <c r="A60" s="27" t="s">
        <v>45</v>
      </c>
      <c r="B60" s="28" t="s">
        <v>98</v>
      </c>
      <c r="C60" s="102" t="s">
        <v>100</v>
      </c>
      <c r="D60" s="58">
        <v>200</v>
      </c>
      <c r="E60" s="88">
        <f t="shared" si="55"/>
        <v>28.839200000000002</v>
      </c>
      <c r="F60" s="88">
        <f t="shared" si="56"/>
        <v>0</v>
      </c>
      <c r="G60" s="88">
        <f t="shared" ref="G60:G61" si="60">E60+F60</f>
        <v>28.839200000000002</v>
      </c>
      <c r="H60" s="88">
        <f t="shared" si="57"/>
        <v>5767.84</v>
      </c>
      <c r="I60" s="88">
        <f t="shared" si="51"/>
        <v>0</v>
      </c>
      <c r="J60" s="88">
        <f t="shared" si="59"/>
        <v>5767.84</v>
      </c>
      <c r="K60" s="67">
        <f t="shared" si="53"/>
        <v>0</v>
      </c>
      <c r="L60">
        <f t="shared" si="54"/>
        <v>480.65333333333336</v>
      </c>
      <c r="O60">
        <v>5767.84</v>
      </c>
      <c r="P60">
        <v>0</v>
      </c>
    </row>
    <row r="61" spans="1:16" ht="25.5">
      <c r="A61" s="27" t="s">
        <v>46</v>
      </c>
      <c r="B61" s="28" t="s">
        <v>99</v>
      </c>
      <c r="C61" s="102" t="s">
        <v>100</v>
      </c>
      <c r="D61" s="58">
        <v>160</v>
      </c>
      <c r="E61" s="88">
        <f t="shared" si="55"/>
        <v>964.16324999999995</v>
      </c>
      <c r="F61" s="88">
        <f t="shared" si="56"/>
        <v>0</v>
      </c>
      <c r="G61" s="88">
        <f t="shared" si="60"/>
        <v>964.16324999999995</v>
      </c>
      <c r="H61" s="88">
        <f t="shared" si="57"/>
        <v>154266.12</v>
      </c>
      <c r="I61" s="88">
        <f t="shared" si="51"/>
        <v>0</v>
      </c>
      <c r="J61" s="88">
        <f t="shared" ref="J61" si="61">H61+I61</f>
        <v>154266.12</v>
      </c>
      <c r="K61" s="67">
        <f t="shared" si="53"/>
        <v>0</v>
      </c>
      <c r="L61">
        <f t="shared" si="54"/>
        <v>12855.51</v>
      </c>
      <c r="O61">
        <v>154266.12</v>
      </c>
      <c r="P61">
        <v>0</v>
      </c>
    </row>
    <row r="62" spans="1:16" ht="13.5" thickBot="1">
      <c r="A62" s="27" t="s">
        <v>124</v>
      </c>
      <c r="B62" s="28" t="s">
        <v>125</v>
      </c>
      <c r="C62" s="102" t="s">
        <v>67</v>
      </c>
      <c r="D62" s="58">
        <f>'Себестоимость (в лудшем)'!D61</f>
        <v>12</v>
      </c>
      <c r="E62" s="88">
        <v>75000</v>
      </c>
      <c r="F62" s="88">
        <f t="shared" ref="F62" si="62">I62/D62</f>
        <v>0</v>
      </c>
      <c r="G62" s="88">
        <f t="shared" ref="G62" si="63">E62+F62</f>
        <v>75000</v>
      </c>
      <c r="H62" s="88">
        <f t="shared" ref="H62" si="64">O62</f>
        <v>232470</v>
      </c>
      <c r="I62" s="88">
        <f t="shared" si="51"/>
        <v>0</v>
      </c>
      <c r="J62" s="88">
        <f t="shared" ref="J62" si="65">H62+I62</f>
        <v>232470</v>
      </c>
      <c r="K62" s="67">
        <f t="shared" si="53"/>
        <v>0</v>
      </c>
      <c r="L62">
        <f t="shared" si="54"/>
        <v>19372.5</v>
      </c>
      <c r="O62" s="67">
        <f>'Себестоимость (в лудшем)'!J61</f>
        <v>232470</v>
      </c>
      <c r="P62">
        <v>0</v>
      </c>
    </row>
    <row r="63" spans="1:16" ht="13.5" thickBot="1">
      <c r="A63" s="153" t="s">
        <v>52</v>
      </c>
      <c r="B63" s="154"/>
      <c r="C63" s="39"/>
      <c r="D63" s="55"/>
      <c r="E63" s="89"/>
      <c r="F63" s="90"/>
      <c r="G63" s="90"/>
      <c r="H63" s="49">
        <f>H55+H56+H57+H58+H59+H60+H61+H62</f>
        <v>525465.88800000004</v>
      </c>
      <c r="I63" s="49">
        <f t="shared" ref="I63:J63" si="66">I55+I56+I57+I58+I59+I60+I61+I62</f>
        <v>4705597.0999999996</v>
      </c>
      <c r="J63" s="49">
        <f t="shared" si="66"/>
        <v>5231062.9879999999</v>
      </c>
      <c r="K63" s="112"/>
      <c r="L63" s="113" t="s">
        <v>118</v>
      </c>
      <c r="M63" s="114"/>
      <c r="P63" t="s">
        <v>117</v>
      </c>
    </row>
    <row r="64" spans="1:16" ht="13.5" thickBot="1">
      <c r="A64" s="153" t="s">
        <v>93</v>
      </c>
      <c r="B64" s="154"/>
      <c r="C64" s="39"/>
      <c r="D64" s="55"/>
      <c r="E64" s="89"/>
      <c r="F64" s="90"/>
      <c r="G64" s="90"/>
      <c r="H64" s="49">
        <f>H21+H31+H53+H63</f>
        <v>78402332.564353392</v>
      </c>
      <c r="I64" s="49">
        <f t="shared" ref="I64" si="67">I21+I31+I53+I63</f>
        <v>67273167.625666648</v>
      </c>
      <c r="J64" s="49">
        <f>J21+J31+J53+J63</f>
        <v>145675500.19002008</v>
      </c>
      <c r="K64" s="61">
        <f>SUM(K14:K63)</f>
        <v>7652933.5896246089</v>
      </c>
      <c r="L64" s="61">
        <f>SUM(L14:L63)</f>
        <v>6533527.7136961147</v>
      </c>
      <c r="M64" s="61">
        <f>K64+L64</f>
        <v>14186461.303320725</v>
      </c>
      <c r="P64" s="67">
        <f>M64*3</f>
        <v>42559383.909962177</v>
      </c>
    </row>
    <row r="65" spans="1:30">
      <c r="A65" s="103"/>
      <c r="B65" s="119" t="s">
        <v>137</v>
      </c>
      <c r="C65" s="104"/>
      <c r="D65" s="105"/>
      <c r="E65" s="106"/>
      <c r="F65" s="107"/>
      <c r="G65" s="107"/>
      <c r="H65" s="107"/>
      <c r="I65" s="107"/>
      <c r="J65" s="108"/>
      <c r="K65" s="67">
        <f>K64*80%</f>
        <v>6122346.8716996871</v>
      </c>
      <c r="L65" s="67">
        <f>L64*80%</f>
        <v>5226822.170956892</v>
      </c>
      <c r="M65" s="67">
        <f>K65+L65</f>
        <v>11349169.042656578</v>
      </c>
      <c r="N65" s="82" t="s">
        <v>119</v>
      </c>
      <c r="P65" s="67">
        <f t="shared" ref="P65:P72" si="68">M65*3</f>
        <v>34047507.127969734</v>
      </c>
    </row>
    <row r="66" spans="1:30">
      <c r="A66" s="103"/>
      <c r="B66" s="119" t="s">
        <v>223</v>
      </c>
      <c r="C66" s="104"/>
      <c r="D66" s="105"/>
      <c r="E66" s="67"/>
      <c r="F66" s="107"/>
      <c r="G66" s="107"/>
      <c r="H66" s="107"/>
      <c r="I66" s="107"/>
      <c r="J66" s="108"/>
      <c r="K66" s="67">
        <f>K64*20%</f>
        <v>1530586.7179249218</v>
      </c>
      <c r="L66" s="67">
        <f>L64*20%</f>
        <v>1306705.542739223</v>
      </c>
      <c r="M66" s="67">
        <f>K66+L66</f>
        <v>2837292.2606641445</v>
      </c>
      <c r="N66" s="82" t="s">
        <v>109</v>
      </c>
      <c r="P66" s="67">
        <f t="shared" si="68"/>
        <v>8511876.7819924336</v>
      </c>
    </row>
    <row r="67" spans="1:30" ht="13.5" customHeight="1">
      <c r="B67" s="155" t="s">
        <v>224</v>
      </c>
      <c r="C67" s="155"/>
      <c r="D67" s="155"/>
      <c r="E67" s="155"/>
      <c r="F67" s="155"/>
      <c r="G67" s="155"/>
      <c r="H67" s="155"/>
      <c r="I67" s="155"/>
      <c r="J67" s="155"/>
      <c r="K67" s="67"/>
      <c r="M67" s="67">
        <f>'Себестоимость (в худшем)'!M54</f>
        <v>1433712.5468209877</v>
      </c>
      <c r="N67" s="82" t="s">
        <v>120</v>
      </c>
      <c r="P67" s="67">
        <f t="shared" si="68"/>
        <v>4301137.6404629629</v>
      </c>
    </row>
    <row r="68" spans="1:30" ht="14.25" customHeight="1">
      <c r="B68" s="155" t="s">
        <v>156</v>
      </c>
      <c r="C68" s="155"/>
      <c r="D68" s="155"/>
      <c r="E68" s="155"/>
      <c r="F68" s="155"/>
      <c r="G68" s="155"/>
      <c r="H68" s="155"/>
      <c r="I68" s="155"/>
      <c r="J68" s="155"/>
      <c r="K68" s="67"/>
      <c r="M68" s="67">
        <f>'Себестоимость (в лудшем)'!M58</f>
        <v>633398.66783481487</v>
      </c>
      <c r="N68" s="82" t="s">
        <v>121</v>
      </c>
      <c r="P68" s="67">
        <f t="shared" si="68"/>
        <v>1900196.0035044446</v>
      </c>
    </row>
    <row r="69" spans="1:30" ht="17.25" customHeight="1">
      <c r="B69" s="155" t="s">
        <v>225</v>
      </c>
      <c r="C69" s="155"/>
      <c r="D69" s="155"/>
      <c r="E69" s="155"/>
      <c r="F69" s="155"/>
      <c r="G69" s="155"/>
      <c r="H69" s="155"/>
      <c r="I69" s="155"/>
      <c r="J69" s="155"/>
      <c r="K69" s="67"/>
      <c r="L69" s="67"/>
      <c r="M69" s="67">
        <f>'Себестоимость (в лудшем)'!M56</f>
        <v>4162894.0118865343</v>
      </c>
      <c r="N69" s="82" t="s">
        <v>122</v>
      </c>
      <c r="P69" s="67">
        <f t="shared" si="68"/>
        <v>12488682.035659604</v>
      </c>
    </row>
    <row r="70" spans="1:30" ht="39.75" customHeight="1">
      <c r="B70" s="155" t="s">
        <v>226</v>
      </c>
      <c r="C70" s="155"/>
      <c r="D70" s="155"/>
      <c r="E70" s="155"/>
      <c r="F70" s="155"/>
      <c r="G70" s="155"/>
      <c r="H70" s="155"/>
      <c r="I70" s="155"/>
      <c r="J70" s="155"/>
      <c r="K70" s="67"/>
      <c r="L70" s="67"/>
      <c r="M70" s="67"/>
      <c r="N70" s="82"/>
      <c r="P70" s="67"/>
    </row>
    <row r="71" spans="1:30" ht="27" customHeight="1">
      <c r="B71" s="155" t="s">
        <v>228</v>
      </c>
      <c r="C71" s="155"/>
      <c r="D71" s="155"/>
      <c r="E71" s="155"/>
      <c r="F71" s="155"/>
      <c r="G71" s="155"/>
      <c r="H71" s="155"/>
      <c r="I71" s="155"/>
      <c r="J71" s="155"/>
      <c r="K71" s="67"/>
      <c r="L71" s="67"/>
      <c r="M71" s="67">
        <f>M66+M67+M68+M69</f>
        <v>9067297.4872064814</v>
      </c>
      <c r="N71" s="82" t="s">
        <v>112</v>
      </c>
      <c r="P71" s="67">
        <f t="shared" si="68"/>
        <v>27201892.461619444</v>
      </c>
    </row>
    <row r="72" spans="1:30" ht="16.5" customHeight="1">
      <c r="B72" s="156" t="s">
        <v>229</v>
      </c>
      <c r="C72" s="156"/>
      <c r="D72" s="156"/>
      <c r="E72" s="156"/>
      <c r="F72" s="156"/>
      <c r="G72" s="156"/>
      <c r="H72" s="156"/>
      <c r="I72" s="156"/>
      <c r="J72" s="156"/>
      <c r="K72" s="110"/>
      <c r="L72" s="110"/>
      <c r="M72" s="67">
        <f>M64-M71</f>
        <v>5119163.8161142431</v>
      </c>
      <c r="N72" s="82" t="s">
        <v>123</v>
      </c>
      <c r="P72" s="67">
        <f t="shared" si="68"/>
        <v>15357491.448342729</v>
      </c>
    </row>
    <row r="73" spans="1:30" ht="27" customHeight="1">
      <c r="A73"/>
      <c r="B73" s="155"/>
      <c r="C73" s="155"/>
      <c r="D73" s="155"/>
      <c r="E73" s="155"/>
      <c r="F73" s="155"/>
      <c r="G73" s="155"/>
      <c r="H73" s="155"/>
      <c r="I73" s="155"/>
      <c r="J73" s="155"/>
      <c r="K73" s="110" t="s">
        <v>114</v>
      </c>
      <c r="L73" s="110" t="s">
        <v>115</v>
      </c>
      <c r="M73" s="110" t="s">
        <v>27</v>
      </c>
    </row>
    <row r="75" spans="1:30" ht="25.5">
      <c r="B75" s="97" t="s">
        <v>9</v>
      </c>
    </row>
    <row r="76" spans="1:30" ht="15">
      <c r="B76" s="98" t="s">
        <v>10</v>
      </c>
    </row>
    <row r="77" spans="1:30" ht="25.5">
      <c r="B77" s="97" t="s">
        <v>11</v>
      </c>
    </row>
    <row r="78" spans="1:30" ht="31.5">
      <c r="B78" s="84" t="s">
        <v>12</v>
      </c>
    </row>
    <row r="79" spans="1:30" ht="31.5" hidden="1">
      <c r="B79" s="85" t="s">
        <v>13</v>
      </c>
    </row>
    <row r="80" spans="1:30" hidden="1">
      <c r="B80" s="135"/>
      <c r="C80" s="133"/>
      <c r="D80" s="148" t="s">
        <v>170</v>
      </c>
      <c r="E80" s="148"/>
      <c r="F80" s="148" t="s">
        <v>171</v>
      </c>
      <c r="G80" s="148"/>
      <c r="H80" s="148" t="s">
        <v>172</v>
      </c>
      <c r="I80" s="148"/>
      <c r="J80" s="148" t="s">
        <v>173</v>
      </c>
      <c r="K80" s="148"/>
      <c r="L80" s="149" t="s">
        <v>174</v>
      </c>
      <c r="M80" s="150"/>
      <c r="N80" s="150" t="s">
        <v>175</v>
      </c>
      <c r="O80" s="150"/>
      <c r="P80" s="150" t="s">
        <v>176</v>
      </c>
      <c r="Q80" s="150"/>
      <c r="R80" s="148" t="s">
        <v>177</v>
      </c>
      <c r="S80" s="148"/>
      <c r="T80" s="134" t="s">
        <v>178</v>
      </c>
      <c r="U80" s="134" t="s">
        <v>179</v>
      </c>
      <c r="V80" s="134" t="s">
        <v>180</v>
      </c>
      <c r="W80" s="134" t="s">
        <v>181</v>
      </c>
      <c r="X80" s="134" t="s">
        <v>170</v>
      </c>
      <c r="Y80" s="148" t="s">
        <v>171</v>
      </c>
      <c r="Z80" s="148"/>
      <c r="AA80" s="149" t="s">
        <v>172</v>
      </c>
      <c r="AB80" s="150"/>
      <c r="AC80" s="142" t="s">
        <v>173</v>
      </c>
      <c r="AD80" s="140"/>
    </row>
    <row r="81" spans="2:30" hidden="1">
      <c r="B81" s="136" t="s">
        <v>165</v>
      </c>
      <c r="C81" s="137"/>
      <c r="D81" s="138">
        <v>1</v>
      </c>
      <c r="E81" s="138">
        <v>2</v>
      </c>
      <c r="F81" s="138">
        <v>3</v>
      </c>
      <c r="G81" s="138">
        <v>4</v>
      </c>
      <c r="H81" s="138">
        <v>5</v>
      </c>
      <c r="I81" s="138">
        <v>6</v>
      </c>
      <c r="J81" s="138">
        <v>7</v>
      </c>
      <c r="K81" s="138">
        <v>8</v>
      </c>
      <c r="L81" s="138">
        <v>9</v>
      </c>
      <c r="M81" s="138">
        <v>10</v>
      </c>
      <c r="N81" s="138">
        <v>11</v>
      </c>
      <c r="O81" s="138">
        <v>12</v>
      </c>
      <c r="P81" s="138">
        <v>13</v>
      </c>
      <c r="Q81" s="138">
        <v>14</v>
      </c>
      <c r="R81" s="138">
        <v>15</v>
      </c>
      <c r="S81" s="138">
        <v>16</v>
      </c>
      <c r="T81" s="138">
        <v>17</v>
      </c>
      <c r="U81" s="138">
        <v>18</v>
      </c>
      <c r="V81" s="138">
        <v>19</v>
      </c>
      <c r="W81" s="138">
        <v>20</v>
      </c>
      <c r="X81" s="138">
        <v>21</v>
      </c>
      <c r="Y81" s="138">
        <v>22</v>
      </c>
      <c r="Z81" s="138">
        <v>23</v>
      </c>
      <c r="AA81" s="138">
        <v>24</v>
      </c>
      <c r="AB81" s="138">
        <v>25</v>
      </c>
      <c r="AC81" s="138">
        <v>26</v>
      </c>
      <c r="AD81" s="141" t="s">
        <v>93</v>
      </c>
    </row>
    <row r="82" spans="2:30" hidden="1">
      <c r="B82" s="135" t="s">
        <v>167</v>
      </c>
      <c r="C82" s="133"/>
      <c r="D82" s="139">
        <f>D83+D84</f>
        <v>5602903.8534623086</v>
      </c>
      <c r="E82" s="139">
        <f t="shared" ref="E82:AC82" si="69">E83+E84</f>
        <v>5602903.8534623086</v>
      </c>
      <c r="F82" s="139">
        <f t="shared" si="69"/>
        <v>5602903.8534623086</v>
      </c>
      <c r="G82" s="139">
        <f t="shared" si="69"/>
        <v>5602903.8534623086</v>
      </c>
      <c r="H82" s="139">
        <f t="shared" si="69"/>
        <v>5602903.8534623086</v>
      </c>
      <c r="I82" s="139">
        <f t="shared" si="69"/>
        <v>5602903.8534623086</v>
      </c>
      <c r="J82" s="139">
        <f t="shared" si="69"/>
        <v>5602903.8534623086</v>
      </c>
      <c r="K82" s="139">
        <f t="shared" si="69"/>
        <v>5602903.8534623086</v>
      </c>
      <c r="L82" s="139">
        <f t="shared" si="69"/>
        <v>5602903.8534623086</v>
      </c>
      <c r="M82" s="139">
        <f t="shared" si="69"/>
        <v>5602903.8534623086</v>
      </c>
      <c r="N82" s="139">
        <f t="shared" si="69"/>
        <v>5602903.8534623086</v>
      </c>
      <c r="O82" s="139">
        <f t="shared" si="69"/>
        <v>5602903.8534623086</v>
      </c>
      <c r="P82" s="139">
        <f t="shared" si="69"/>
        <v>5602903.8534623086</v>
      </c>
      <c r="Q82" s="139">
        <f t="shared" si="69"/>
        <v>5602903.8534623086</v>
      </c>
      <c r="R82" s="139">
        <f t="shared" si="69"/>
        <v>5602903.8534623086</v>
      </c>
      <c r="S82" s="139">
        <f t="shared" si="69"/>
        <v>5602903.8534623086</v>
      </c>
      <c r="T82" s="139">
        <f t="shared" si="69"/>
        <v>5602903.8534623086</v>
      </c>
      <c r="U82" s="139">
        <f t="shared" si="69"/>
        <v>5602903.8534623086</v>
      </c>
      <c r="V82" s="139">
        <f t="shared" si="69"/>
        <v>5602903.8534623086</v>
      </c>
      <c r="W82" s="139">
        <f t="shared" si="69"/>
        <v>5602903.8534623086</v>
      </c>
      <c r="X82" s="139">
        <f t="shared" si="69"/>
        <v>5602903.8534623086</v>
      </c>
      <c r="Y82" s="139">
        <f t="shared" si="69"/>
        <v>5602903.8534623086</v>
      </c>
      <c r="Z82" s="139">
        <f t="shared" si="69"/>
        <v>5602903.8534623086</v>
      </c>
      <c r="AA82" s="139">
        <f t="shared" si="69"/>
        <v>5602903.8534623086</v>
      </c>
      <c r="AB82" s="139">
        <f t="shared" si="69"/>
        <v>5602903.8534623086</v>
      </c>
      <c r="AC82" s="139">
        <f t="shared" si="69"/>
        <v>6030948.6587964147</v>
      </c>
      <c r="AD82" s="141">
        <f>SUM(D82:AC82)</f>
        <v>146103544.99535412</v>
      </c>
    </row>
    <row r="83" spans="2:30" hidden="1">
      <c r="B83" s="135" t="s">
        <v>168</v>
      </c>
      <c r="C83" s="133"/>
      <c r="D83" s="139">
        <f>H64/26</f>
        <v>3015474.3293982074</v>
      </c>
      <c r="E83" s="140">
        <f>D83</f>
        <v>3015474.3293982074</v>
      </c>
      <c r="F83" s="140">
        <f t="shared" ref="F83:AC83" si="70">E83</f>
        <v>3015474.3293982074</v>
      </c>
      <c r="G83" s="140">
        <f t="shared" si="70"/>
        <v>3015474.3293982074</v>
      </c>
      <c r="H83" s="140">
        <f t="shared" si="70"/>
        <v>3015474.3293982074</v>
      </c>
      <c r="I83" s="140">
        <f t="shared" si="70"/>
        <v>3015474.3293982074</v>
      </c>
      <c r="J83" s="140">
        <f t="shared" si="70"/>
        <v>3015474.3293982074</v>
      </c>
      <c r="K83" s="140">
        <f t="shared" si="70"/>
        <v>3015474.3293982074</v>
      </c>
      <c r="L83" s="140">
        <f t="shared" si="70"/>
        <v>3015474.3293982074</v>
      </c>
      <c r="M83" s="140">
        <f t="shared" si="70"/>
        <v>3015474.3293982074</v>
      </c>
      <c r="N83" s="140">
        <f t="shared" si="70"/>
        <v>3015474.3293982074</v>
      </c>
      <c r="O83" s="140">
        <f t="shared" si="70"/>
        <v>3015474.3293982074</v>
      </c>
      <c r="P83" s="140">
        <f t="shared" si="70"/>
        <v>3015474.3293982074</v>
      </c>
      <c r="Q83" s="140">
        <f t="shared" si="70"/>
        <v>3015474.3293982074</v>
      </c>
      <c r="R83" s="140">
        <f t="shared" si="70"/>
        <v>3015474.3293982074</v>
      </c>
      <c r="S83" s="140">
        <f t="shared" si="70"/>
        <v>3015474.3293982074</v>
      </c>
      <c r="T83" s="140">
        <f t="shared" si="70"/>
        <v>3015474.3293982074</v>
      </c>
      <c r="U83" s="140">
        <f t="shared" si="70"/>
        <v>3015474.3293982074</v>
      </c>
      <c r="V83" s="140">
        <f t="shared" si="70"/>
        <v>3015474.3293982074</v>
      </c>
      <c r="W83" s="140">
        <f t="shared" si="70"/>
        <v>3015474.3293982074</v>
      </c>
      <c r="X83" s="140">
        <f t="shared" si="70"/>
        <v>3015474.3293982074</v>
      </c>
      <c r="Y83" s="140">
        <f t="shared" si="70"/>
        <v>3015474.3293982074</v>
      </c>
      <c r="Z83" s="140">
        <f t="shared" si="70"/>
        <v>3015474.3293982074</v>
      </c>
      <c r="AA83" s="140">
        <f t="shared" si="70"/>
        <v>3015474.3293982074</v>
      </c>
      <c r="AB83" s="140">
        <f t="shared" si="70"/>
        <v>3015474.3293982074</v>
      </c>
      <c r="AC83" s="140">
        <f t="shared" si="70"/>
        <v>3015474.3293982074</v>
      </c>
      <c r="AD83" s="141">
        <f>SUM(D83:AC83)</f>
        <v>78402332.564353406</v>
      </c>
    </row>
    <row r="84" spans="2:30" hidden="1">
      <c r="B84" s="135" t="s">
        <v>169</v>
      </c>
      <c r="C84" s="133"/>
      <c r="D84" s="139">
        <f>I64/26</f>
        <v>2587429.5240641017</v>
      </c>
      <c r="E84" s="140">
        <f>D84</f>
        <v>2587429.5240641017</v>
      </c>
      <c r="F84" s="140">
        <f t="shared" ref="F84:AB84" si="71">E84</f>
        <v>2587429.5240641017</v>
      </c>
      <c r="G84" s="140">
        <f t="shared" si="71"/>
        <v>2587429.5240641017</v>
      </c>
      <c r="H84" s="140">
        <f t="shared" si="71"/>
        <v>2587429.5240641017</v>
      </c>
      <c r="I84" s="140">
        <f t="shared" si="71"/>
        <v>2587429.5240641017</v>
      </c>
      <c r="J84" s="140">
        <f t="shared" si="71"/>
        <v>2587429.5240641017</v>
      </c>
      <c r="K84" s="140">
        <f t="shared" si="71"/>
        <v>2587429.5240641017</v>
      </c>
      <c r="L84" s="140">
        <f t="shared" si="71"/>
        <v>2587429.5240641017</v>
      </c>
      <c r="M84" s="140">
        <f t="shared" si="71"/>
        <v>2587429.5240641017</v>
      </c>
      <c r="N84" s="140">
        <f t="shared" si="71"/>
        <v>2587429.5240641017</v>
      </c>
      <c r="O84" s="140">
        <f t="shared" si="71"/>
        <v>2587429.5240641017</v>
      </c>
      <c r="P84" s="140">
        <f t="shared" si="71"/>
        <v>2587429.5240641017</v>
      </c>
      <c r="Q84" s="140">
        <f t="shared" si="71"/>
        <v>2587429.5240641017</v>
      </c>
      <c r="R84" s="140">
        <f t="shared" si="71"/>
        <v>2587429.5240641017</v>
      </c>
      <c r="S84" s="140">
        <f t="shared" si="71"/>
        <v>2587429.5240641017</v>
      </c>
      <c r="T84" s="140">
        <f t="shared" si="71"/>
        <v>2587429.5240641017</v>
      </c>
      <c r="U84" s="140">
        <f t="shared" si="71"/>
        <v>2587429.5240641017</v>
      </c>
      <c r="V84" s="140">
        <f t="shared" si="71"/>
        <v>2587429.5240641017</v>
      </c>
      <c r="W84" s="140">
        <f t="shared" si="71"/>
        <v>2587429.5240641017</v>
      </c>
      <c r="X84" s="140">
        <f t="shared" si="71"/>
        <v>2587429.5240641017</v>
      </c>
      <c r="Y84" s="140">
        <f t="shared" si="71"/>
        <v>2587429.5240641017</v>
      </c>
      <c r="Z84" s="140">
        <f t="shared" si="71"/>
        <v>2587429.5240641017</v>
      </c>
      <c r="AA84" s="140">
        <f t="shared" si="71"/>
        <v>2587429.5240641017</v>
      </c>
      <c r="AB84" s="140">
        <f t="shared" si="71"/>
        <v>2587429.5240641017</v>
      </c>
      <c r="AC84" s="140">
        <f>AC83</f>
        <v>3015474.3293982074</v>
      </c>
      <c r="AD84" s="141">
        <f>SUM(D84:AC84)</f>
        <v>67701212.431000739</v>
      </c>
    </row>
    <row r="85" spans="2:30" ht="22.5" hidden="1">
      <c r="B85" s="135" t="s">
        <v>195</v>
      </c>
      <c r="C85" s="133"/>
      <c r="D85" s="139"/>
      <c r="E85" s="143">
        <v>500000</v>
      </c>
      <c r="F85" s="143"/>
      <c r="G85" s="143"/>
      <c r="H85" s="143"/>
      <c r="I85" s="143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1">
        <f t="shared" ref="AD85" si="72">SUM(D85:AC85)</f>
        <v>500000</v>
      </c>
    </row>
    <row r="86" spans="2:30" hidden="1">
      <c r="B86" s="135" t="s">
        <v>182</v>
      </c>
      <c r="C86" s="133"/>
      <c r="D86" s="139"/>
      <c r="E86" s="140">
        <f>D83+E83</f>
        <v>6030948.6587964147</v>
      </c>
      <c r="F86" s="140"/>
      <c r="G86" s="140">
        <f>F83+G83</f>
        <v>6030948.6587964147</v>
      </c>
      <c r="H86" s="140"/>
      <c r="I86" s="140">
        <f>H83+I83</f>
        <v>6030948.6587964147</v>
      </c>
      <c r="J86" s="140"/>
      <c r="K86" s="140">
        <f>J83+K83</f>
        <v>6030948.6587964147</v>
      </c>
      <c r="L86" s="140"/>
      <c r="M86" s="140">
        <f>L83+M83</f>
        <v>6030948.6587964147</v>
      </c>
      <c r="N86" s="140"/>
      <c r="O86" s="140">
        <f>N83+O83</f>
        <v>6030948.6587964147</v>
      </c>
      <c r="P86" s="140"/>
      <c r="Q86" s="140">
        <f>P83+Q83</f>
        <v>6030948.6587964147</v>
      </c>
      <c r="R86" s="140"/>
      <c r="S86" s="140">
        <f>R83+S83</f>
        <v>6030948.6587964147</v>
      </c>
      <c r="T86" s="140">
        <f>T83</f>
        <v>3015474.3293982074</v>
      </c>
      <c r="U86" s="140">
        <f>U83</f>
        <v>3015474.3293982074</v>
      </c>
      <c r="V86" s="140">
        <f>V83</f>
        <v>3015474.3293982074</v>
      </c>
      <c r="W86" s="140">
        <f>W83</f>
        <v>3015474.3293982074</v>
      </c>
      <c r="X86" s="140">
        <f>X83</f>
        <v>3015474.3293982074</v>
      </c>
      <c r="Y86" s="140"/>
      <c r="Z86" s="140">
        <f>Y83+Z83</f>
        <v>6030948.6587964147</v>
      </c>
      <c r="AA86" s="140"/>
      <c r="AB86" s="140">
        <f>AA83+AB83</f>
        <v>6030948.6587964147</v>
      </c>
      <c r="AC86" s="140">
        <f>AC83</f>
        <v>3015474.3293982074</v>
      </c>
      <c r="AD86" s="141">
        <f t="shared" ref="AD86:AD88" si="73">SUM(D86:AC86)</f>
        <v>78402332.564353377</v>
      </c>
    </row>
    <row r="87" spans="2:30" hidden="1">
      <c r="B87" s="135" t="s">
        <v>183</v>
      </c>
      <c r="C87" s="133"/>
      <c r="D87" s="139"/>
      <c r="E87" s="140">
        <v>400000</v>
      </c>
      <c r="F87" s="140"/>
      <c r="G87" s="140">
        <v>400000</v>
      </c>
      <c r="H87" s="140"/>
      <c r="I87" s="140">
        <v>400000</v>
      </c>
      <c r="J87" s="140"/>
      <c r="K87" s="140">
        <v>400000</v>
      </c>
      <c r="L87" s="140"/>
      <c r="M87" s="140">
        <v>400000</v>
      </c>
      <c r="N87" s="140"/>
      <c r="O87" s="140">
        <v>400000</v>
      </c>
      <c r="P87" s="140"/>
      <c r="Q87" s="140">
        <v>400000</v>
      </c>
      <c r="R87" s="140"/>
      <c r="S87" s="140">
        <v>400000</v>
      </c>
      <c r="T87" s="140">
        <v>400000</v>
      </c>
      <c r="U87" s="140">
        <v>400000</v>
      </c>
      <c r="V87" s="140">
        <v>400000</v>
      </c>
      <c r="W87" s="140">
        <v>400000</v>
      </c>
      <c r="X87" s="140">
        <v>400000</v>
      </c>
      <c r="Y87" s="140"/>
      <c r="Z87" s="140">
        <v>400000</v>
      </c>
      <c r="AA87" s="140"/>
      <c r="AB87" s="140">
        <v>400000</v>
      </c>
      <c r="AC87" s="140">
        <v>400000</v>
      </c>
      <c r="AD87" s="141">
        <f t="shared" si="73"/>
        <v>6400000</v>
      </c>
    </row>
    <row r="88" spans="2:30" hidden="1">
      <c r="B88" s="135" t="s">
        <v>184</v>
      </c>
      <c r="C88" s="133"/>
      <c r="D88" s="139"/>
      <c r="E88" s="143">
        <v>2000000</v>
      </c>
      <c r="F88" s="143"/>
      <c r="G88" s="143">
        <v>2000000</v>
      </c>
      <c r="H88" s="143"/>
      <c r="I88" s="143">
        <v>2000000</v>
      </c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1">
        <f t="shared" si="73"/>
        <v>6000000</v>
      </c>
    </row>
    <row r="89" spans="2:30" hidden="1">
      <c r="B89" s="136" t="s">
        <v>166</v>
      </c>
      <c r="C89" s="137"/>
      <c r="D89" s="144"/>
      <c r="E89" s="141">
        <f>D82+E82</f>
        <v>11205807.706924617</v>
      </c>
      <c r="F89" s="141"/>
      <c r="G89" s="141">
        <f>F82+G82</f>
        <v>11205807.706924617</v>
      </c>
      <c r="H89" s="141"/>
      <c r="I89" s="141">
        <f>H82+I82</f>
        <v>11205807.706924617</v>
      </c>
      <c r="J89" s="141"/>
      <c r="K89" s="141">
        <f>J82+K82</f>
        <v>11205807.706924617</v>
      </c>
      <c r="L89" s="141"/>
      <c r="M89" s="141">
        <f>L82+M82</f>
        <v>11205807.706924617</v>
      </c>
      <c r="N89" s="141"/>
      <c r="O89" s="141">
        <f>N82+O82</f>
        <v>11205807.706924617</v>
      </c>
      <c r="P89" s="141"/>
      <c r="Q89" s="141">
        <f>P82+Q82</f>
        <v>11205807.706924617</v>
      </c>
      <c r="R89" s="141"/>
      <c r="S89" s="141">
        <f>R82+S82</f>
        <v>11205807.706924617</v>
      </c>
      <c r="T89" s="141">
        <f>T82</f>
        <v>5602903.8534623086</v>
      </c>
      <c r="U89" s="141">
        <f t="shared" ref="U89:X89" si="74">U82</f>
        <v>5602903.8534623086</v>
      </c>
      <c r="V89" s="141">
        <f t="shared" si="74"/>
        <v>5602903.8534623086</v>
      </c>
      <c r="W89" s="141">
        <f t="shared" si="74"/>
        <v>5602903.8534623086</v>
      </c>
      <c r="X89" s="141">
        <f t="shared" si="74"/>
        <v>5602903.8534623086</v>
      </c>
      <c r="Y89" s="141"/>
      <c r="Z89" s="141">
        <f>W82+X82</f>
        <v>11205807.706924617</v>
      </c>
      <c r="AA89" s="141"/>
      <c r="AB89" s="141">
        <f>Y82+Z82</f>
        <v>11205807.706924617</v>
      </c>
      <c r="AC89" s="141">
        <f>AC82</f>
        <v>6030948.6587964147</v>
      </c>
      <c r="AD89" s="141">
        <f t="shared" ref="AD89:AD98" si="75">SUM(D89:AC89)</f>
        <v>146103544.99535412</v>
      </c>
    </row>
    <row r="90" spans="2:30" hidden="1">
      <c r="B90" s="135" t="s">
        <v>185</v>
      </c>
      <c r="C90" s="133"/>
      <c r="D90" s="139"/>
      <c r="E90" s="140">
        <f>E86+E87+E88+E85</f>
        <v>8930948.6587964147</v>
      </c>
      <c r="F90" s="140"/>
      <c r="G90" s="140">
        <f>G86+G87+G88</f>
        <v>8430948.6587964147</v>
      </c>
      <c r="H90" s="140"/>
      <c r="I90" s="140">
        <f>I86+I87+I88</f>
        <v>8430948.6587964147</v>
      </c>
      <c r="J90" s="140"/>
      <c r="K90" s="140">
        <f>K86+K87+K88</f>
        <v>6430948.6587964147</v>
      </c>
      <c r="L90" s="140"/>
      <c r="M90" s="140">
        <f>M86+M87+M88</f>
        <v>6430948.6587964147</v>
      </c>
      <c r="N90" s="140"/>
      <c r="O90" s="140">
        <f>O86+O87+O88</f>
        <v>6430948.6587964147</v>
      </c>
      <c r="P90" s="140"/>
      <c r="Q90" s="140">
        <f>Q86+Q87+Q88</f>
        <v>6430948.6587964147</v>
      </c>
      <c r="R90" s="140"/>
      <c r="S90" s="140">
        <f>S86+S87+S88</f>
        <v>6430948.6587964147</v>
      </c>
      <c r="T90" s="140">
        <f>T86+T87+T88</f>
        <v>3415474.3293982074</v>
      </c>
      <c r="U90" s="140">
        <f t="shared" ref="U90:X90" si="76">U86+U87+U88</f>
        <v>3415474.3293982074</v>
      </c>
      <c r="V90" s="140">
        <f t="shared" si="76"/>
        <v>3415474.3293982074</v>
      </c>
      <c r="W90" s="140">
        <f t="shared" si="76"/>
        <v>3415474.3293982074</v>
      </c>
      <c r="X90" s="140">
        <f t="shared" si="76"/>
        <v>3415474.3293982074</v>
      </c>
      <c r="Y90" s="140"/>
      <c r="Z90" s="140">
        <f>Z86+Z87+Z88</f>
        <v>6430948.6587964147</v>
      </c>
      <c r="AA90" s="140"/>
      <c r="AB90" s="140">
        <f>AB86+AB87+AB88</f>
        <v>6430948.6587964147</v>
      </c>
      <c r="AC90" s="140">
        <f>AC86+AC87+AC88</f>
        <v>3415474.3293982074</v>
      </c>
      <c r="AD90" s="141">
        <f t="shared" si="75"/>
        <v>91302332.564353406</v>
      </c>
    </row>
    <row r="91" spans="2:30" hidden="1">
      <c r="B91" s="135" t="s">
        <v>186</v>
      </c>
      <c r="C91" s="133"/>
      <c r="D91" s="139"/>
      <c r="E91" s="140">
        <f>E89*3.5%</f>
        <v>392203.26974236162</v>
      </c>
      <c r="F91" s="140"/>
      <c r="G91" s="140">
        <f>G89*3.5%</f>
        <v>392203.26974236162</v>
      </c>
      <c r="H91" s="140"/>
      <c r="I91" s="140">
        <f>I89*3.5%</f>
        <v>392203.26974236162</v>
      </c>
      <c r="J91" s="140"/>
      <c r="K91" s="140">
        <f>K89*3.5%</f>
        <v>392203.26974236162</v>
      </c>
      <c r="L91" s="140"/>
      <c r="M91" s="140">
        <f>M89*3.5%</f>
        <v>392203.26974236162</v>
      </c>
      <c r="N91" s="140"/>
      <c r="O91" s="140">
        <f>O89*3.5%</f>
        <v>392203.26974236162</v>
      </c>
      <c r="P91" s="140"/>
      <c r="Q91" s="140">
        <f>Q89*3.5%</f>
        <v>392203.26974236162</v>
      </c>
      <c r="R91" s="140"/>
      <c r="S91" s="140">
        <f>S89*3.5%</f>
        <v>392203.26974236162</v>
      </c>
      <c r="T91" s="140">
        <f t="shared" ref="T91:X91" si="77">T89*3.5%</f>
        <v>196101.63487118081</v>
      </c>
      <c r="U91" s="140">
        <f t="shared" si="77"/>
        <v>196101.63487118081</v>
      </c>
      <c r="V91" s="140">
        <f t="shared" si="77"/>
        <v>196101.63487118081</v>
      </c>
      <c r="W91" s="140">
        <f t="shared" si="77"/>
        <v>196101.63487118081</v>
      </c>
      <c r="X91" s="140">
        <f t="shared" si="77"/>
        <v>196101.63487118081</v>
      </c>
      <c r="Y91" s="140"/>
      <c r="Z91" s="140">
        <f>Z89*3.5%</f>
        <v>392203.26974236162</v>
      </c>
      <c r="AA91" s="140"/>
      <c r="AB91" s="140">
        <f>AB89*3.5%</f>
        <v>392203.26974236162</v>
      </c>
      <c r="AC91" s="140">
        <f>AC89*3.5%</f>
        <v>211083.20305787455</v>
      </c>
      <c r="AD91" s="141">
        <f t="shared" si="75"/>
        <v>5113624.0748373941</v>
      </c>
    </row>
    <row r="92" spans="2:30" hidden="1">
      <c r="B92" s="135" t="s">
        <v>187</v>
      </c>
      <c r="C92" s="133"/>
      <c r="D92" s="139"/>
      <c r="E92" s="140">
        <f>E89*6%</f>
        <v>672348.46241547703</v>
      </c>
      <c r="F92" s="140"/>
      <c r="G92" s="140">
        <f>G89*6%</f>
        <v>672348.46241547703</v>
      </c>
      <c r="H92" s="140"/>
      <c r="I92" s="140">
        <f>I89*6%</f>
        <v>672348.46241547703</v>
      </c>
      <c r="J92" s="140"/>
      <c r="K92" s="140">
        <f>K89*6%</f>
        <v>672348.46241547703</v>
      </c>
      <c r="L92" s="140"/>
      <c r="M92" s="140">
        <f>M89*6%</f>
        <v>672348.46241547703</v>
      </c>
      <c r="N92" s="140"/>
      <c r="O92" s="140">
        <f>O89*6%</f>
        <v>672348.46241547703</v>
      </c>
      <c r="P92" s="140"/>
      <c r="Q92" s="140">
        <f>Q89*6%</f>
        <v>672348.46241547703</v>
      </c>
      <c r="R92" s="140"/>
      <c r="S92" s="140">
        <f t="shared" ref="S92:X92" si="78">S89*6%</f>
        <v>672348.46241547703</v>
      </c>
      <c r="T92" s="140">
        <f>T89*6%</f>
        <v>336174.23120773851</v>
      </c>
      <c r="U92" s="140">
        <f t="shared" si="78"/>
        <v>336174.23120773851</v>
      </c>
      <c r="V92" s="140">
        <f t="shared" si="78"/>
        <v>336174.23120773851</v>
      </c>
      <c r="W92" s="140">
        <f t="shared" si="78"/>
        <v>336174.23120773851</v>
      </c>
      <c r="X92" s="140">
        <f t="shared" si="78"/>
        <v>336174.23120773851</v>
      </c>
      <c r="Y92" s="140"/>
      <c r="Z92" s="140">
        <f>Z89*6%</f>
        <v>672348.46241547703</v>
      </c>
      <c r="AA92" s="140"/>
      <c r="AB92" s="140">
        <f>AB89*6%</f>
        <v>672348.46241547703</v>
      </c>
      <c r="AC92" s="140">
        <f>AC89*6%</f>
        <v>361856.91952778486</v>
      </c>
      <c r="AD92" s="141">
        <f t="shared" si="75"/>
        <v>8766212.6997212488</v>
      </c>
    </row>
    <row r="93" spans="2:30" hidden="1">
      <c r="B93" s="135" t="s">
        <v>188</v>
      </c>
      <c r="C93" s="133"/>
      <c r="D93" s="139"/>
      <c r="E93" s="140">
        <f>E89*20%</f>
        <v>2241161.5413849237</v>
      </c>
      <c r="F93" s="140"/>
      <c r="G93" s="140">
        <f>G89*20%</f>
        <v>2241161.5413849237</v>
      </c>
      <c r="H93" s="140"/>
      <c r="I93" s="140">
        <f>I89*20%</f>
        <v>2241161.5413849237</v>
      </c>
      <c r="J93" s="140"/>
      <c r="K93" s="140">
        <f>K89*20%</f>
        <v>2241161.5413849237</v>
      </c>
      <c r="L93" s="140"/>
      <c r="M93" s="140">
        <f>M89*20%</f>
        <v>2241161.5413849237</v>
      </c>
      <c r="N93" s="140"/>
      <c r="O93" s="140">
        <f>O89*20%</f>
        <v>2241161.5413849237</v>
      </c>
      <c r="P93" s="140"/>
      <c r="Q93" s="140">
        <f>Q89*20%</f>
        <v>2241161.5413849237</v>
      </c>
      <c r="R93" s="140"/>
      <c r="S93" s="140">
        <f t="shared" ref="S93:X93" si="79">S89*20%</f>
        <v>2241161.5413849237</v>
      </c>
      <c r="T93" s="140">
        <f>T89*20%</f>
        <v>1120580.7706924619</v>
      </c>
      <c r="U93" s="140">
        <f t="shared" si="79"/>
        <v>1120580.7706924619</v>
      </c>
      <c r="V93" s="140">
        <f t="shared" si="79"/>
        <v>1120580.7706924619</v>
      </c>
      <c r="W93" s="140">
        <f t="shared" si="79"/>
        <v>1120580.7706924619</v>
      </c>
      <c r="X93" s="140">
        <f t="shared" si="79"/>
        <v>1120580.7706924619</v>
      </c>
      <c r="Y93" s="140"/>
      <c r="Z93" s="140">
        <f>Z89*20%</f>
        <v>2241161.5413849237</v>
      </c>
      <c r="AA93" s="140"/>
      <c r="AB93" s="140">
        <f>AB89*20%</f>
        <v>2241161.5413849237</v>
      </c>
      <c r="AC93" s="140">
        <f>AC89*20%</f>
        <v>1206189.731759283</v>
      </c>
      <c r="AD93" s="141">
        <f t="shared" si="75"/>
        <v>29220708.999070823</v>
      </c>
    </row>
    <row r="94" spans="2:30" hidden="1">
      <c r="B94" s="136" t="s">
        <v>197</v>
      </c>
      <c r="C94" s="137"/>
      <c r="D94" s="144"/>
      <c r="E94" s="141">
        <f>E89-E91-E92-E93</f>
        <v>7900094.4333818536</v>
      </c>
      <c r="F94" s="141"/>
      <c r="G94" s="141">
        <f>G89-G91-G92-G93-E90</f>
        <v>-1030854.2254145611</v>
      </c>
      <c r="H94" s="141"/>
      <c r="I94" s="141">
        <f>I89-I91-I92-I93-G90</f>
        <v>-530854.22541456111</v>
      </c>
      <c r="J94" s="141"/>
      <c r="K94" s="141">
        <f>K89-K91-K92-K93-I90</f>
        <v>-530854.22541456111</v>
      </c>
      <c r="L94" s="141"/>
      <c r="M94" s="141">
        <f>M89-M91-M92-M93-K90</f>
        <v>1469145.7745854389</v>
      </c>
      <c r="N94" s="141"/>
      <c r="O94" s="141">
        <f>O89-O91-O92-O93-M90</f>
        <v>1469145.7745854389</v>
      </c>
      <c r="P94" s="141"/>
      <c r="Q94" s="141">
        <f>Q89-Q91-Q92-Q93-O90</f>
        <v>1469145.7745854389</v>
      </c>
      <c r="R94" s="141"/>
      <c r="S94" s="141">
        <f>S89-S91-S92-S93-Q90</f>
        <v>1469145.7745854389</v>
      </c>
      <c r="T94" s="141">
        <f>T89-T91-T92-T93-S90</f>
        <v>-2480901.4421054879</v>
      </c>
      <c r="U94" s="141">
        <f>U89-U91-U92-U93-T90</f>
        <v>534572.88729271945</v>
      </c>
      <c r="V94" s="141">
        <f t="shared" ref="V94:X94" si="80">V89-V91-V92-V93-U90</f>
        <v>534572.88729271945</v>
      </c>
      <c r="W94" s="141">
        <f t="shared" si="80"/>
        <v>534572.88729271945</v>
      </c>
      <c r="X94" s="141">
        <f t="shared" si="80"/>
        <v>534572.88729271945</v>
      </c>
      <c r="Y94" s="141"/>
      <c r="Z94" s="141">
        <f>Z89-Z91-Z92-Z93-X90</f>
        <v>4484620.1039836463</v>
      </c>
      <c r="AA94" s="141"/>
      <c r="AB94" s="141">
        <f>AB89-AB91-AB92-AB93-Z90</f>
        <v>1469145.7745854389</v>
      </c>
      <c r="AC94" s="141">
        <f>AC89-AC91-AC92-AC93-AB90-AC90</f>
        <v>-5594604.18374315</v>
      </c>
      <c r="AD94" s="141">
        <f t="shared" si="75"/>
        <v>11700666.657371257</v>
      </c>
    </row>
    <row r="95" spans="2:30" hidden="1">
      <c r="B95" s="135" t="s">
        <v>189</v>
      </c>
      <c r="C95" s="133"/>
      <c r="D95" s="139"/>
      <c r="E95" s="140"/>
      <c r="F95" s="140">
        <f>'Себестоимость (в лудшем)'!M57</f>
        <v>1714934.7368240738</v>
      </c>
      <c r="G95" s="140"/>
      <c r="H95" s="140">
        <f>F95</f>
        <v>1714934.7368240738</v>
      </c>
      <c r="I95" s="140"/>
      <c r="J95" s="140">
        <f>H95</f>
        <v>1714934.7368240738</v>
      </c>
      <c r="K95" s="140"/>
      <c r="L95" s="140">
        <f>J95</f>
        <v>1714934.7368240738</v>
      </c>
      <c r="M95" s="140"/>
      <c r="N95" s="140">
        <f>L95</f>
        <v>1714934.7368240738</v>
      </c>
      <c r="O95" s="140"/>
      <c r="P95" s="140">
        <f>N95</f>
        <v>1714934.7368240738</v>
      </c>
      <c r="Q95" s="140"/>
      <c r="R95" s="140">
        <f>P95</f>
        <v>1714934.7368240738</v>
      </c>
      <c r="S95" s="140"/>
      <c r="T95" s="140">
        <f>R95</f>
        <v>1714934.7368240738</v>
      </c>
      <c r="U95" s="140">
        <f t="shared" ref="U95:Y96" si="81">T95</f>
        <v>1714934.7368240738</v>
      </c>
      <c r="V95" s="140">
        <f t="shared" si="81"/>
        <v>1714934.7368240738</v>
      </c>
      <c r="W95" s="140">
        <f t="shared" si="81"/>
        <v>1714934.7368240738</v>
      </c>
      <c r="X95" s="140">
        <f t="shared" si="81"/>
        <v>1714934.7368240738</v>
      </c>
      <c r="Y95" s="140">
        <f t="shared" si="81"/>
        <v>1714934.7368240738</v>
      </c>
      <c r="Z95" s="140"/>
      <c r="AA95" s="140">
        <f>Y95</f>
        <v>1714934.7368240738</v>
      </c>
      <c r="AB95" s="140"/>
      <c r="AC95" s="140">
        <f>AA95</f>
        <v>1714934.7368240738</v>
      </c>
      <c r="AD95" s="141">
        <f t="shared" si="75"/>
        <v>25724021.052361097</v>
      </c>
    </row>
    <row r="96" spans="2:30" hidden="1">
      <c r="B96" s="135" t="s">
        <v>190</v>
      </c>
      <c r="C96" s="133"/>
      <c r="D96" s="139"/>
      <c r="E96" s="140"/>
      <c r="F96" s="140">
        <f>'Себестоимость (в лудшем)'!M58</f>
        <v>633398.66783481487</v>
      </c>
      <c r="G96" s="140"/>
      <c r="H96" s="140">
        <f>F96</f>
        <v>633398.66783481487</v>
      </c>
      <c r="I96" s="140"/>
      <c r="J96" s="140">
        <f>H96</f>
        <v>633398.66783481487</v>
      </c>
      <c r="K96" s="140"/>
      <c r="L96" s="140">
        <f>J96</f>
        <v>633398.66783481487</v>
      </c>
      <c r="M96" s="140"/>
      <c r="N96" s="140">
        <f>L96</f>
        <v>633398.66783481487</v>
      </c>
      <c r="O96" s="140"/>
      <c r="P96" s="140">
        <f>N96</f>
        <v>633398.66783481487</v>
      </c>
      <c r="Q96" s="140"/>
      <c r="R96" s="140">
        <f>P96</f>
        <v>633398.66783481487</v>
      </c>
      <c r="S96" s="140"/>
      <c r="T96" s="140">
        <f>R96</f>
        <v>633398.66783481487</v>
      </c>
      <c r="U96" s="140">
        <f t="shared" si="81"/>
        <v>633398.66783481487</v>
      </c>
      <c r="V96" s="140">
        <f t="shared" si="81"/>
        <v>633398.66783481487</v>
      </c>
      <c r="W96" s="140">
        <f t="shared" si="81"/>
        <v>633398.66783481487</v>
      </c>
      <c r="X96" s="140">
        <f t="shared" si="81"/>
        <v>633398.66783481487</v>
      </c>
      <c r="Y96" s="140">
        <f t="shared" si="81"/>
        <v>633398.66783481487</v>
      </c>
      <c r="Z96" s="140"/>
      <c r="AA96" s="140">
        <f>Y96</f>
        <v>633398.66783481487</v>
      </c>
      <c r="AB96" s="140"/>
      <c r="AC96" s="140">
        <f>AA96</f>
        <v>633398.66783481487</v>
      </c>
      <c r="AD96" s="141">
        <f>SUM(D96:AC96)</f>
        <v>9500980.0175222214</v>
      </c>
    </row>
    <row r="97" spans="2:30" ht="22.5" hidden="1">
      <c r="B97" s="136" t="s">
        <v>196</v>
      </c>
      <c r="C97" s="137"/>
      <c r="D97" s="144"/>
      <c r="E97" s="141">
        <f>E94-D95-D96</f>
        <v>7900094.4333818536</v>
      </c>
      <c r="F97" s="141"/>
      <c r="G97" s="141">
        <f>E97+G94-F95-F96</f>
        <v>4520906.8033084041</v>
      </c>
      <c r="H97" s="141"/>
      <c r="I97" s="141">
        <f>I94-H95-H96</f>
        <v>-2879187.6300734496</v>
      </c>
      <c r="J97" s="141"/>
      <c r="K97" s="141">
        <f>K94-J95-J96</f>
        <v>-2879187.6300734496</v>
      </c>
      <c r="L97" s="141"/>
      <c r="M97" s="141">
        <f>M94-L95-L96</f>
        <v>-879187.63007344981</v>
      </c>
      <c r="N97" s="141"/>
      <c r="O97" s="141">
        <f>O94-N95-N96</f>
        <v>-879187.63007344981</v>
      </c>
      <c r="P97" s="141"/>
      <c r="Q97" s="141">
        <f>Q94-P95-P96</f>
        <v>-879187.63007344981</v>
      </c>
      <c r="R97" s="141"/>
      <c r="S97" s="141">
        <f>S94-R95-R96</f>
        <v>-879187.63007344981</v>
      </c>
      <c r="T97" s="141">
        <f>T94-T95-T96</f>
        <v>-4829234.8467643764</v>
      </c>
      <c r="U97" s="141">
        <f t="shared" ref="U97:X97" si="82">U94-U95-U96</f>
        <v>-1813760.5173661693</v>
      </c>
      <c r="V97" s="141">
        <f t="shared" si="82"/>
        <v>-1813760.5173661693</v>
      </c>
      <c r="W97" s="141">
        <f t="shared" si="82"/>
        <v>-1813760.5173661693</v>
      </c>
      <c r="X97" s="141">
        <f t="shared" si="82"/>
        <v>-1813760.5173661693</v>
      </c>
      <c r="Y97" s="141"/>
      <c r="Z97" s="141">
        <f>Z94-Y95-Y96</f>
        <v>2136286.6993247578</v>
      </c>
      <c r="AA97" s="141"/>
      <c r="AB97" s="141">
        <f>AB94-AA95-AA96</f>
        <v>-879187.63007344981</v>
      </c>
      <c r="AC97" s="141">
        <f>AC94-AC95-AC96</f>
        <v>-7942937.5884020384</v>
      </c>
      <c r="AD97" s="141">
        <f>SUM(D97:AC97)</f>
        <v>-15624239.979130225</v>
      </c>
    </row>
    <row r="98" spans="2:30" hidden="1">
      <c r="B98" s="135" t="s">
        <v>191</v>
      </c>
      <c r="C98" s="133"/>
      <c r="D98" s="139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>
        <f>E93+G93</f>
        <v>4482323.0827698475</v>
      </c>
      <c r="R98" s="140"/>
      <c r="S98" s="140">
        <f>I93+K93</f>
        <v>4482323.0827698475</v>
      </c>
      <c r="T98" s="140"/>
      <c r="U98" s="140">
        <f>M93+O93</f>
        <v>4482323.0827698475</v>
      </c>
      <c r="V98" s="140"/>
      <c r="W98" s="140">
        <f>Q93+S93</f>
        <v>4482323.0827698475</v>
      </c>
      <c r="X98" s="140"/>
      <c r="Y98" s="140"/>
      <c r="Z98" s="140"/>
      <c r="AA98" s="140"/>
      <c r="AB98" s="140"/>
      <c r="AC98" s="140">
        <f>T93+U93+V93+W93+X93</f>
        <v>5602903.8534623096</v>
      </c>
      <c r="AD98" s="141">
        <f t="shared" si="75"/>
        <v>23532196.184541699</v>
      </c>
    </row>
    <row r="99" spans="2:30" hidden="1">
      <c r="B99" s="136" t="s">
        <v>192</v>
      </c>
      <c r="C99" s="133"/>
      <c r="D99" s="139"/>
      <c r="E99" s="140">
        <f>E97</f>
        <v>7900094.4333818536</v>
      </c>
      <c r="F99" s="140"/>
      <c r="G99" s="140">
        <f>E99+G97</f>
        <v>12421001.236690257</v>
      </c>
      <c r="H99" s="140"/>
      <c r="I99" s="140">
        <f>G99+I97</f>
        <v>9541813.6066168062</v>
      </c>
      <c r="J99" s="140"/>
      <c r="K99" s="140">
        <f>I99+K97</f>
        <v>6662625.9765433567</v>
      </c>
      <c r="L99" s="140"/>
      <c r="M99" s="140">
        <f>K99+M97+M98</f>
        <v>5783438.3464699071</v>
      </c>
      <c r="N99" s="140"/>
      <c r="O99" s="140">
        <f>M99+O97+O98</f>
        <v>4904250.7163964575</v>
      </c>
      <c r="P99" s="140"/>
      <c r="Q99" s="140">
        <f>O99+Q97+Q98</f>
        <v>8507386.1690928563</v>
      </c>
      <c r="R99" s="140"/>
      <c r="S99" s="140">
        <f>Q99+S97+S98</f>
        <v>12110521.621789254</v>
      </c>
      <c r="T99" s="140">
        <f>S99+T97+T98</f>
        <v>7281286.7750248779</v>
      </c>
      <c r="U99" s="140">
        <f>T99+U97+U98</f>
        <v>9949849.3404285572</v>
      </c>
      <c r="V99" s="140">
        <f>U99+V97+V98</f>
        <v>8136088.8230623882</v>
      </c>
      <c r="W99" s="140">
        <f>V99+W97+W98</f>
        <v>10804651.388466068</v>
      </c>
      <c r="X99" s="140">
        <f>W99+X97+X98</f>
        <v>8990890.8710998986</v>
      </c>
      <c r="Y99" s="140"/>
      <c r="Z99" s="140">
        <f>X99+Z97+Z98</f>
        <v>11127177.570424657</v>
      </c>
      <c r="AA99" s="140"/>
      <c r="AB99" s="140">
        <f>Z99+AB97+AB98</f>
        <v>10247989.940351207</v>
      </c>
      <c r="AC99" s="140">
        <f>AB99+AC97+AC98</f>
        <v>7907956.2054114779</v>
      </c>
      <c r="AD99" s="140">
        <f>AC99</f>
        <v>7907956.2054114779</v>
      </c>
    </row>
    <row r="100" spans="2:30" hidden="1">
      <c r="B100" s="135" t="s">
        <v>193</v>
      </c>
      <c r="C100" s="133"/>
      <c r="D100" s="139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1">
        <f>AD93-AD98</f>
        <v>5688512.8145291246</v>
      </c>
    </row>
    <row r="101" spans="2:30" hidden="1">
      <c r="B101" s="135" t="s">
        <v>194</v>
      </c>
      <c r="C101" s="133"/>
      <c r="D101" s="139"/>
      <c r="E101" s="140"/>
      <c r="F101" s="140"/>
      <c r="G101" s="140">
        <f>G89*2%</f>
        <v>224116.15413849236</v>
      </c>
      <c r="H101" s="140"/>
      <c r="I101" s="140">
        <f>I89*2%</f>
        <v>224116.15413849236</v>
      </c>
      <c r="J101" s="140"/>
      <c r="K101" s="140">
        <f>K89*2%</f>
        <v>224116.15413849236</v>
      </c>
      <c r="L101" s="140"/>
      <c r="M101" s="140">
        <f>M89*2%</f>
        <v>224116.15413849236</v>
      </c>
      <c r="N101" s="140"/>
      <c r="O101" s="140">
        <f>O89*2%</f>
        <v>224116.15413849236</v>
      </c>
      <c r="P101" s="140"/>
      <c r="Q101" s="140">
        <f>Q89*2%</f>
        <v>224116.15413849236</v>
      </c>
      <c r="R101" s="140"/>
      <c r="S101" s="140">
        <f>S89*2%</f>
        <v>224116.15413849236</v>
      </c>
      <c r="T101" s="140">
        <f t="shared" ref="T101:X101" si="83">T89*2%</f>
        <v>112058.07706924618</v>
      </c>
      <c r="U101" s="140">
        <f t="shared" si="83"/>
        <v>112058.07706924618</v>
      </c>
      <c r="V101" s="140">
        <f t="shared" si="83"/>
        <v>112058.07706924618</v>
      </c>
      <c r="W101" s="140">
        <f t="shared" si="83"/>
        <v>112058.07706924618</v>
      </c>
      <c r="X101" s="140">
        <f t="shared" si="83"/>
        <v>112058.07706924618</v>
      </c>
      <c r="Y101" s="140"/>
      <c r="Z101" s="140">
        <f>Z89*2%</f>
        <v>224116.15413849236</v>
      </c>
      <c r="AA101" s="140"/>
      <c r="AB101" s="140">
        <f>AB89*2%</f>
        <v>224116.15413849236</v>
      </c>
      <c r="AC101" s="140">
        <f>AC89*2%+AB101+AD92/3+AD92/3</f>
        <v>6188876.9271285869</v>
      </c>
      <c r="AD101" s="141">
        <f t="shared" ref="AD101" si="84">SUM(D101:AC101)</f>
        <v>8766212.6997212488</v>
      </c>
    </row>
    <row r="102" spans="2:30">
      <c r="AC102" s="140"/>
    </row>
  </sheetData>
  <autoFilter ref="A9:C34"/>
  <mergeCells count="32">
    <mergeCell ref="A21:B21"/>
    <mergeCell ref="A31:B31"/>
    <mergeCell ref="A34:B34"/>
    <mergeCell ref="A38:B38"/>
    <mergeCell ref="A5:J7"/>
    <mergeCell ref="E9:G10"/>
    <mergeCell ref="H9:J10"/>
    <mergeCell ref="A9:A11"/>
    <mergeCell ref="B9:B11"/>
    <mergeCell ref="C9:C11"/>
    <mergeCell ref="D9:D11"/>
    <mergeCell ref="AA80:AB80"/>
    <mergeCell ref="A48:B48"/>
    <mergeCell ref="A53:B53"/>
    <mergeCell ref="B71:J71"/>
    <mergeCell ref="B72:J72"/>
    <mergeCell ref="B73:J73"/>
    <mergeCell ref="B70:J70"/>
    <mergeCell ref="B68:J68"/>
    <mergeCell ref="B69:J69"/>
    <mergeCell ref="B67:J67"/>
    <mergeCell ref="A63:B63"/>
    <mergeCell ref="A64:B64"/>
    <mergeCell ref="L80:M80"/>
    <mergeCell ref="N80:O80"/>
    <mergeCell ref="P80:Q80"/>
    <mergeCell ref="R80:S80"/>
    <mergeCell ref="Y80:Z80"/>
    <mergeCell ref="D80:E80"/>
    <mergeCell ref="F80:G80"/>
    <mergeCell ref="H80:I80"/>
    <mergeCell ref="J80:K80"/>
  </mergeCells>
  <hyperlinks>
    <hyperlink ref="Q19" r:id="rId1"/>
  </hyperlinks>
  <printOptions horizontalCentered="1"/>
  <pageMargins left="0.19685039370078741" right="0.19685039370078741" top="0.35433070866141736" bottom="0.19685039370078741" header="0.31496062992125984" footer="0.31496062992125984"/>
  <pageSetup paperSize="8" fitToHeight="39" orientation="portrait" r:id="rId2"/>
  <headerFooter>
    <oddFooter>&amp;C&amp;P</oddFooter>
  </headerFooter>
  <colBreaks count="1" manualBreakCount="1">
    <brk id="4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8"/>
  <sheetViews>
    <sheetView zoomScaleNormal="100" zoomScaleSheetLayoutView="100" workbookViewId="0">
      <selection activeCell="E16" sqref="E16"/>
    </sheetView>
  </sheetViews>
  <sheetFormatPr defaultRowHeight="12.75"/>
  <cols>
    <col min="1" max="1" width="11.42578125" style="3" customWidth="1"/>
    <col min="2" max="2" width="50.42578125" style="2" customWidth="1"/>
    <col min="3" max="3" width="6" style="1" customWidth="1"/>
    <col min="4" max="4" width="10.85546875" style="4" customWidth="1"/>
    <col min="5" max="5" width="11.5703125" customWidth="1"/>
    <col min="6" max="6" width="11.42578125" customWidth="1"/>
    <col min="7" max="7" width="12.42578125" customWidth="1"/>
    <col min="8" max="8" width="13" customWidth="1"/>
    <col min="9" max="9" width="13.5703125" customWidth="1"/>
    <col min="10" max="10" width="15.28515625" customWidth="1"/>
    <col min="11" max="13" width="13.7109375" customWidth="1"/>
    <col min="14" max="14" width="12" customWidth="1"/>
    <col min="15" max="15" width="13.7109375" customWidth="1"/>
    <col min="16" max="16" width="13.85546875" customWidth="1"/>
  </cols>
  <sheetData>
    <row r="1" spans="1:13" ht="15.75">
      <c r="A1" s="16" t="s">
        <v>18</v>
      </c>
      <c r="G1" s="5"/>
      <c r="H1" s="6"/>
      <c r="I1" s="35"/>
      <c r="J1" s="36"/>
    </row>
    <row r="2" spans="1:13" ht="35.25" customHeight="1">
      <c r="G2" s="37"/>
      <c r="H2" s="38"/>
      <c r="I2" s="38"/>
      <c r="J2" s="38"/>
    </row>
    <row r="3" spans="1:13">
      <c r="G3" s="9"/>
      <c r="H3" s="10"/>
      <c r="I3" s="7"/>
      <c r="J3" s="8"/>
    </row>
    <row r="4" spans="1:13" ht="11.25" customHeight="1">
      <c r="G4" s="11" t="s">
        <v>6</v>
      </c>
      <c r="H4" s="11"/>
      <c r="I4" s="7"/>
      <c r="J4" s="8"/>
    </row>
    <row r="5" spans="1:13" ht="12.75" customHeight="1">
      <c r="A5" s="159" t="s">
        <v>28</v>
      </c>
      <c r="B5" s="159"/>
      <c r="C5" s="159"/>
      <c r="D5" s="159"/>
      <c r="E5" s="159"/>
      <c r="F5" s="159"/>
      <c r="G5" s="159"/>
      <c r="H5" s="159"/>
      <c r="I5" s="159"/>
      <c r="J5" s="159"/>
    </row>
    <row r="6" spans="1:13" ht="20.2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</row>
    <row r="7" spans="1:13" ht="27" customHeight="1">
      <c r="A7" s="159"/>
      <c r="B7" s="159"/>
      <c r="C7" s="159"/>
      <c r="D7" s="159"/>
      <c r="E7" s="159"/>
      <c r="F7" s="159"/>
      <c r="G7" s="159"/>
      <c r="H7" s="159"/>
      <c r="I7" s="159"/>
      <c r="J7" s="159"/>
    </row>
    <row r="8" spans="1:13" ht="18" customHeight="1">
      <c r="B8" s="120" t="s">
        <v>130</v>
      </c>
    </row>
    <row r="9" spans="1:13" ht="13.5" customHeight="1">
      <c r="A9" s="173" t="s">
        <v>1</v>
      </c>
      <c r="B9" s="174" t="s">
        <v>29</v>
      </c>
      <c r="C9" s="174" t="s">
        <v>2</v>
      </c>
      <c r="D9" s="175" t="s">
        <v>3</v>
      </c>
      <c r="E9" s="178" t="s">
        <v>7</v>
      </c>
      <c r="F9" s="179"/>
      <c r="G9" s="180"/>
      <c r="H9" s="178" t="s">
        <v>19</v>
      </c>
      <c r="I9" s="179"/>
      <c r="J9" s="180"/>
    </row>
    <row r="10" spans="1:13" ht="15.75" customHeight="1">
      <c r="A10" s="173"/>
      <c r="B10" s="174"/>
      <c r="C10" s="174"/>
      <c r="D10" s="176"/>
      <c r="E10" s="181"/>
      <c r="F10" s="182"/>
      <c r="G10" s="183"/>
      <c r="H10" s="181"/>
      <c r="I10" s="182"/>
      <c r="J10" s="183"/>
    </row>
    <row r="11" spans="1:13" ht="35.25" customHeight="1">
      <c r="A11" s="173"/>
      <c r="B11" s="174"/>
      <c r="C11" s="174"/>
      <c r="D11" s="177"/>
      <c r="E11" s="20" t="s">
        <v>4</v>
      </c>
      <c r="F11" s="20" t="s">
        <v>5</v>
      </c>
      <c r="G11" s="21" t="s">
        <v>14</v>
      </c>
      <c r="H11" s="21" t="s">
        <v>15</v>
      </c>
      <c r="I11" s="21" t="s">
        <v>16</v>
      </c>
      <c r="J11" s="21" t="s">
        <v>17</v>
      </c>
      <c r="K11" s="109" t="s">
        <v>108</v>
      </c>
      <c r="L11" s="109"/>
      <c r="M11" s="109"/>
    </row>
    <row r="12" spans="1:13" ht="13.5" thickBot="1">
      <c r="A12" s="22" t="s">
        <v>0</v>
      </c>
      <c r="B12" s="22">
        <v>2</v>
      </c>
      <c r="C12" s="23">
        <v>3</v>
      </c>
      <c r="D12" s="24">
        <v>4</v>
      </c>
      <c r="E12" s="24">
        <v>6</v>
      </c>
      <c r="F12" s="24">
        <v>7</v>
      </c>
      <c r="G12" s="24">
        <v>8</v>
      </c>
      <c r="H12" s="24">
        <v>9</v>
      </c>
      <c r="I12" s="24">
        <v>10</v>
      </c>
      <c r="J12" s="24">
        <v>11</v>
      </c>
    </row>
    <row r="13" spans="1:13" ht="16.5" thickBot="1">
      <c r="A13" s="30">
        <v>1</v>
      </c>
      <c r="B13" s="31" t="s">
        <v>47</v>
      </c>
      <c r="C13" s="32"/>
      <c r="D13" s="33"/>
      <c r="E13" s="17"/>
      <c r="F13" s="18"/>
      <c r="G13" s="18"/>
      <c r="H13" s="18"/>
      <c r="I13" s="18"/>
      <c r="J13" s="19"/>
    </row>
    <row r="14" spans="1:13">
      <c r="A14" s="27" t="s">
        <v>20</v>
      </c>
      <c r="B14" s="28" t="s">
        <v>31</v>
      </c>
      <c r="C14" s="29" t="s">
        <v>30</v>
      </c>
      <c r="D14" s="42">
        <v>3378.39</v>
      </c>
      <c r="E14" s="42">
        <f>Коом.пред.!E14</f>
        <v>0</v>
      </c>
      <c r="F14" s="42">
        <v>1200</v>
      </c>
      <c r="G14" s="42">
        <f>E14+F14</f>
        <v>1200</v>
      </c>
      <c r="H14" s="42">
        <v>16653411.98</v>
      </c>
      <c r="I14" s="42">
        <f>F14*D14</f>
        <v>4054068</v>
      </c>
      <c r="J14" s="42">
        <f>H14+I14</f>
        <v>20707479.98</v>
      </c>
      <c r="K14" s="67">
        <f>I14/18</f>
        <v>225226</v>
      </c>
      <c r="L14" s="67">
        <f>H14/18</f>
        <v>925189.55444444448</v>
      </c>
      <c r="M14" s="67"/>
    </row>
    <row r="15" spans="1:13">
      <c r="A15" s="25" t="s">
        <v>21</v>
      </c>
      <c r="B15" s="28" t="s">
        <v>38</v>
      </c>
      <c r="C15" s="26" t="s">
        <v>30</v>
      </c>
      <c r="D15" s="42">
        <v>135.38999999999999</v>
      </c>
      <c r="E15" s="42">
        <f>Коом.пред.!E15</f>
        <v>0</v>
      </c>
      <c r="F15" s="42">
        <v>1200</v>
      </c>
      <c r="G15" s="42">
        <f t="shared" ref="G15:G18" si="0">E15+F15</f>
        <v>1200</v>
      </c>
      <c r="H15" s="42">
        <v>150301.32</v>
      </c>
      <c r="I15" s="42">
        <f t="shared" ref="I15:I17" si="1">F15*D15</f>
        <v>162467.99999999997</v>
      </c>
      <c r="J15" s="42">
        <f t="shared" ref="J15:J17" si="2">H15+I15</f>
        <v>312769.31999999995</v>
      </c>
      <c r="K15" s="67">
        <f t="shared" ref="K15:K49" si="3">I15/18</f>
        <v>9025.9999999999982</v>
      </c>
      <c r="L15" s="67">
        <f t="shared" ref="L15:L18" si="4">H15/18</f>
        <v>8350.0733333333337</v>
      </c>
      <c r="M15" s="67"/>
    </row>
    <row r="16" spans="1:13">
      <c r="A16" s="25" t="s">
        <v>22</v>
      </c>
      <c r="B16" s="28" t="s">
        <v>35</v>
      </c>
      <c r="C16" s="26" t="s">
        <v>30</v>
      </c>
      <c r="D16" s="42">
        <v>18.63</v>
      </c>
      <c r="E16" s="42">
        <f>Коом.пред.!E16</f>
        <v>3862.9635000000007</v>
      </c>
      <c r="F16" s="42">
        <v>1500</v>
      </c>
      <c r="G16" s="42">
        <f t="shared" si="0"/>
        <v>5362.9635000000007</v>
      </c>
      <c r="H16" s="42">
        <v>60062</v>
      </c>
      <c r="I16" s="42">
        <f t="shared" si="1"/>
        <v>27945</v>
      </c>
      <c r="J16" s="42">
        <f t="shared" si="2"/>
        <v>88007</v>
      </c>
      <c r="K16" s="67">
        <f t="shared" si="3"/>
        <v>1552.5</v>
      </c>
      <c r="L16" s="67">
        <f t="shared" si="4"/>
        <v>3336.7777777777778</v>
      </c>
      <c r="M16" s="67"/>
    </row>
    <row r="17" spans="1:13">
      <c r="A17" s="25" t="s">
        <v>23</v>
      </c>
      <c r="B17" s="28" t="s">
        <v>33</v>
      </c>
      <c r="C17" s="26" t="s">
        <v>34</v>
      </c>
      <c r="D17" s="42">
        <v>682.51</v>
      </c>
      <c r="E17" s="42">
        <f>Коом.пред.!E17</f>
        <v>3851.3280300000006</v>
      </c>
      <c r="F17" s="42">
        <v>450</v>
      </c>
      <c r="G17" s="42">
        <f t="shared" si="0"/>
        <v>4301.3280300000006</v>
      </c>
      <c r="H17" s="42">
        <v>263562.44</v>
      </c>
      <c r="I17" s="42">
        <f t="shared" si="1"/>
        <v>307129.5</v>
      </c>
      <c r="J17" s="42">
        <f t="shared" si="2"/>
        <v>570691.93999999994</v>
      </c>
      <c r="K17" s="67">
        <f t="shared" si="3"/>
        <v>17062.75</v>
      </c>
      <c r="L17" s="67">
        <f t="shared" si="4"/>
        <v>14642.357777777777</v>
      </c>
      <c r="M17" s="67"/>
    </row>
    <row r="18" spans="1:13" ht="26.25" thickBot="1">
      <c r="A18" s="25" t="s">
        <v>44</v>
      </c>
      <c r="B18" s="118" t="s">
        <v>126</v>
      </c>
      <c r="C18" s="60" t="s">
        <v>30</v>
      </c>
      <c r="D18" s="88">
        <f>((D14/0.4/2.7)*0.4+(D15/0.2/2.7)*0.2+(D16/0.25/2.7)*0.25+(D17/2.7)*0.12)*0.02</f>
        <v>26.772675555555558</v>
      </c>
      <c r="E18" s="42">
        <f>Коом.пред.!E20</f>
        <v>5829.9999999999991</v>
      </c>
      <c r="F18" s="88">
        <v>1500</v>
      </c>
      <c r="G18" s="88">
        <f t="shared" si="0"/>
        <v>7329.9999999999991</v>
      </c>
      <c r="H18" s="42">
        <f>E18*D18</f>
        <v>156084.69848888888</v>
      </c>
      <c r="I18" s="42">
        <f>F18*D18</f>
        <v>40159.013333333336</v>
      </c>
      <c r="J18" s="42">
        <f>H18+I18</f>
        <v>196243.71182222222</v>
      </c>
      <c r="K18" s="67">
        <f t="shared" si="3"/>
        <v>2231.0562962962963</v>
      </c>
      <c r="L18">
        <f t="shared" si="4"/>
        <v>8671.3721382716049</v>
      </c>
    </row>
    <row r="19" spans="1:13" ht="16.5" thickBot="1">
      <c r="A19" s="157" t="s">
        <v>24</v>
      </c>
      <c r="B19" s="158"/>
      <c r="C19" s="39"/>
      <c r="D19" s="55"/>
      <c r="E19" s="46"/>
      <c r="F19" s="43"/>
      <c r="G19" s="43"/>
      <c r="H19" s="49">
        <f>SUM(H14:H18)</f>
        <v>17283422.438488889</v>
      </c>
      <c r="I19" s="49">
        <f>SUM(I14:I18)</f>
        <v>4591769.5133333337</v>
      </c>
      <c r="J19" s="49">
        <f>SUM(J14:J18)</f>
        <v>21875191.951822225</v>
      </c>
      <c r="K19" s="67"/>
      <c r="L19" s="67"/>
      <c r="M19" s="67"/>
    </row>
    <row r="20" spans="1:13" ht="16.5" thickBot="1">
      <c r="A20" s="30" t="s">
        <v>21</v>
      </c>
      <c r="B20" s="31" t="s">
        <v>48</v>
      </c>
      <c r="C20" s="32"/>
      <c r="D20" s="56"/>
      <c r="E20" s="47"/>
      <c r="F20" s="44"/>
      <c r="G20" s="44"/>
      <c r="H20" s="44"/>
      <c r="I20" s="44"/>
      <c r="J20" s="45"/>
      <c r="K20" s="67">
        <f t="shared" si="3"/>
        <v>0</v>
      </c>
      <c r="L20" s="67">
        <f t="shared" ref="L20:L49" si="5">H20/18</f>
        <v>0</v>
      </c>
      <c r="M20" s="67"/>
    </row>
    <row r="21" spans="1:13">
      <c r="A21" s="27" t="s">
        <v>20</v>
      </c>
      <c r="B21" s="28" t="s">
        <v>36</v>
      </c>
      <c r="C21" s="60" t="s">
        <v>34</v>
      </c>
      <c r="D21" s="42">
        <v>18880.64</v>
      </c>
      <c r="E21" s="42">
        <f>Коом.пред.!E23</f>
        <v>457.23150000000004</v>
      </c>
      <c r="F21" s="42">
        <v>400</v>
      </c>
      <c r="G21" s="42">
        <f t="shared" ref="G21:G28" si="6">E21+F21</f>
        <v>857.2315000000001</v>
      </c>
      <c r="H21" s="42">
        <v>7093041.3600000003</v>
      </c>
      <c r="I21" s="42">
        <f t="shared" ref="I21:I27" si="7">F21*D21</f>
        <v>7552256</v>
      </c>
      <c r="J21" s="42">
        <f t="shared" ref="J21:J27" si="8">H21+I21</f>
        <v>14645297.359999999</v>
      </c>
      <c r="K21" s="67">
        <f t="shared" si="3"/>
        <v>419569.77777777775</v>
      </c>
      <c r="L21" s="67">
        <f t="shared" si="5"/>
        <v>394057.85333333333</v>
      </c>
      <c r="M21" s="67"/>
    </row>
    <row r="22" spans="1:13">
      <c r="A22" s="25" t="s">
        <v>21</v>
      </c>
      <c r="B22" s="34" t="s">
        <v>37</v>
      </c>
      <c r="C22" s="60" t="s">
        <v>30</v>
      </c>
      <c r="D22" s="42">
        <v>1417.11</v>
      </c>
      <c r="E22" s="42">
        <f>Коом.пред.!E24</f>
        <v>0</v>
      </c>
      <c r="F22" s="42">
        <v>1200</v>
      </c>
      <c r="G22" s="42">
        <f t="shared" si="6"/>
        <v>1200</v>
      </c>
      <c r="H22" s="42">
        <v>6984048.2999999998</v>
      </c>
      <c r="I22" s="42">
        <f t="shared" si="7"/>
        <v>1700531.9999999998</v>
      </c>
      <c r="J22" s="42">
        <f t="shared" si="8"/>
        <v>8684580.2999999989</v>
      </c>
      <c r="K22" s="67">
        <f t="shared" si="3"/>
        <v>94473.999999999985</v>
      </c>
      <c r="L22" s="67">
        <f t="shared" si="5"/>
        <v>388002.68333333335</v>
      </c>
      <c r="M22" s="67"/>
    </row>
    <row r="23" spans="1:13" ht="38.25">
      <c r="A23" s="27" t="s">
        <v>22</v>
      </c>
      <c r="B23" s="54" t="s">
        <v>40</v>
      </c>
      <c r="C23" s="59" t="s">
        <v>34</v>
      </c>
      <c r="D23" s="42">
        <f>12299.26/2</f>
        <v>6149.63</v>
      </c>
      <c r="E23" s="42">
        <f>Коом.пред.!E25</f>
        <v>0</v>
      </c>
      <c r="F23" s="42">
        <v>350</v>
      </c>
      <c r="G23" s="42">
        <f t="shared" si="6"/>
        <v>350</v>
      </c>
      <c r="H23" s="42">
        <v>10524158.039999999</v>
      </c>
      <c r="I23" s="42">
        <f t="shared" si="7"/>
        <v>2152370.5</v>
      </c>
      <c r="J23" s="42">
        <f t="shared" si="8"/>
        <v>12676528.539999999</v>
      </c>
      <c r="K23" s="67">
        <f t="shared" si="3"/>
        <v>119576.13888888889</v>
      </c>
      <c r="L23" s="67">
        <f t="shared" si="5"/>
        <v>584675.44666666666</v>
      </c>
      <c r="M23" s="67"/>
    </row>
    <row r="24" spans="1:13" ht="25.5">
      <c r="A24" s="25" t="s">
        <v>23</v>
      </c>
      <c r="B24" s="54" t="s">
        <v>39</v>
      </c>
      <c r="C24" s="59" t="s">
        <v>34</v>
      </c>
      <c r="D24" s="42">
        <v>16001.67</v>
      </c>
      <c r="E24" s="42">
        <f>Коом.пред.!E26</f>
        <v>1130.7679565217391</v>
      </c>
      <c r="F24" s="42">
        <v>250</v>
      </c>
      <c r="G24" s="42">
        <f t="shared" si="6"/>
        <v>1380.7679565217391</v>
      </c>
      <c r="H24" s="42">
        <v>13703008.42</v>
      </c>
      <c r="I24" s="42">
        <f t="shared" si="7"/>
        <v>4000417.5</v>
      </c>
      <c r="J24" s="42">
        <f t="shared" si="8"/>
        <v>17703425.920000002</v>
      </c>
      <c r="K24" s="67">
        <f t="shared" si="3"/>
        <v>222245.41666666666</v>
      </c>
      <c r="L24" s="67">
        <f t="shared" si="5"/>
        <v>761278.24555555556</v>
      </c>
      <c r="M24" s="67"/>
    </row>
    <row r="25" spans="1:13">
      <c r="A25" s="27" t="s">
        <v>44</v>
      </c>
      <c r="B25" s="54" t="s">
        <v>41</v>
      </c>
      <c r="C25" s="59" t="s">
        <v>34</v>
      </c>
      <c r="D25" s="42">
        <v>900.85</v>
      </c>
      <c r="E25" s="42">
        <f>Коом.пред.!E27</f>
        <v>0</v>
      </c>
      <c r="F25" s="42">
        <v>400</v>
      </c>
      <c r="G25" s="42">
        <f t="shared" si="6"/>
        <v>400</v>
      </c>
      <c r="H25" s="42">
        <v>190875.62</v>
      </c>
      <c r="I25" s="42">
        <f t="shared" si="7"/>
        <v>360340</v>
      </c>
      <c r="J25" s="42">
        <f t="shared" si="8"/>
        <v>551215.62</v>
      </c>
      <c r="K25" s="67">
        <f t="shared" si="3"/>
        <v>20018.888888888891</v>
      </c>
      <c r="L25" s="67">
        <f t="shared" si="5"/>
        <v>10604.201111111111</v>
      </c>
      <c r="M25" s="67"/>
    </row>
    <row r="26" spans="1:13">
      <c r="A26" s="25" t="s">
        <v>45</v>
      </c>
      <c r="B26" s="54" t="s">
        <v>42</v>
      </c>
      <c r="C26" s="59" t="s">
        <v>30</v>
      </c>
      <c r="D26" s="42">
        <v>6.13</v>
      </c>
      <c r="E26" s="42">
        <f>Коом.пред.!E28</f>
        <v>0</v>
      </c>
      <c r="F26" s="42">
        <v>1500</v>
      </c>
      <c r="G26" s="42">
        <f t="shared" si="6"/>
        <v>1500</v>
      </c>
      <c r="H26" s="42">
        <v>19774.439999999999</v>
      </c>
      <c r="I26" s="42">
        <f t="shared" si="7"/>
        <v>9195</v>
      </c>
      <c r="J26" s="42">
        <f t="shared" si="8"/>
        <v>28969.439999999999</v>
      </c>
      <c r="K26" s="67">
        <f t="shared" si="3"/>
        <v>510.83333333333331</v>
      </c>
      <c r="L26" s="67">
        <f t="shared" si="5"/>
        <v>1098.58</v>
      </c>
      <c r="M26" s="67"/>
    </row>
    <row r="27" spans="1:13" ht="38.25">
      <c r="A27" s="27" t="s">
        <v>46</v>
      </c>
      <c r="B27" s="54" t="s">
        <v>43</v>
      </c>
      <c r="C27" s="59" t="s">
        <v>30</v>
      </c>
      <c r="D27" s="42">
        <v>352.52</v>
      </c>
      <c r="E27" s="42">
        <f>Коом.пред.!E29</f>
        <v>5225.0000000000009</v>
      </c>
      <c r="F27" s="42">
        <v>1300</v>
      </c>
      <c r="G27" s="42">
        <f t="shared" si="6"/>
        <v>6525.0000000000009</v>
      </c>
      <c r="H27" s="42">
        <v>1164444.06</v>
      </c>
      <c r="I27" s="42">
        <f t="shared" si="7"/>
        <v>458276</v>
      </c>
      <c r="J27" s="42">
        <f t="shared" si="8"/>
        <v>1622720.06</v>
      </c>
      <c r="K27" s="67">
        <f t="shared" si="3"/>
        <v>25459.777777777777</v>
      </c>
      <c r="L27" s="67">
        <f t="shared" si="5"/>
        <v>64691.33666666667</v>
      </c>
      <c r="M27" s="67"/>
    </row>
    <row r="28" spans="1:13" ht="25.5">
      <c r="A28" s="25" t="s">
        <v>124</v>
      </c>
      <c r="B28" s="118" t="s">
        <v>126</v>
      </c>
      <c r="C28" s="60" t="s">
        <v>30</v>
      </c>
      <c r="D28" s="88">
        <f>((D21/2.7*0.12)+(D22/0.2/2.7)*0.2+(D23/2.7)*0.08+(D24/2.7)*0.08+(D25/2.7)*0.065+(D26/0.25/2.7)*0.25)*0.02</f>
        <v>40.885748518518511</v>
      </c>
      <c r="E28" s="42">
        <f>Коом.пред.!E30</f>
        <v>5829.9999999999991</v>
      </c>
      <c r="F28" s="88">
        <v>1500</v>
      </c>
      <c r="G28" s="88">
        <f t="shared" si="6"/>
        <v>7329.9999999999991</v>
      </c>
      <c r="H28" s="42">
        <f>E28*D28</f>
        <v>238363.91386296289</v>
      </c>
      <c r="I28" s="42">
        <f>F28*D28</f>
        <v>61328.622777777768</v>
      </c>
      <c r="J28" s="88">
        <f>H28+I28</f>
        <v>299692.53664074064</v>
      </c>
      <c r="K28" s="67">
        <f t="shared" si="3"/>
        <v>3407.1457098765427</v>
      </c>
      <c r="L28">
        <f t="shared" si="5"/>
        <v>13242.439659053494</v>
      </c>
    </row>
    <row r="29" spans="1:13" ht="16.5" thickBot="1">
      <c r="A29" s="151" t="s">
        <v>25</v>
      </c>
      <c r="B29" s="152"/>
      <c r="C29" s="50"/>
      <c r="D29" s="57"/>
      <c r="E29" s="51"/>
      <c r="F29" s="52"/>
      <c r="G29" s="42"/>
      <c r="H29" s="53">
        <f>SUM(H21:H28)</f>
        <v>39917714.153862961</v>
      </c>
      <c r="I29" s="53">
        <f>SUM(I21:I28)</f>
        <v>16294715.622777779</v>
      </c>
      <c r="J29" s="53">
        <f>SUM(J21:J28)</f>
        <v>56212429.776640736</v>
      </c>
      <c r="K29" s="67"/>
      <c r="L29" s="67"/>
      <c r="M29" s="67"/>
    </row>
    <row r="30" spans="1:13" ht="16.5" thickBot="1">
      <c r="A30" s="30" t="s">
        <v>22</v>
      </c>
      <c r="B30" s="31" t="s">
        <v>49</v>
      </c>
      <c r="C30" s="32"/>
      <c r="D30" s="56"/>
      <c r="E30" s="47"/>
      <c r="F30" s="44"/>
      <c r="G30" s="44"/>
      <c r="H30" s="44"/>
      <c r="I30" s="44"/>
      <c r="J30" s="45"/>
      <c r="K30" s="67">
        <f t="shared" si="3"/>
        <v>0</v>
      </c>
      <c r="L30" s="67">
        <f t="shared" si="5"/>
        <v>0</v>
      </c>
      <c r="M30" s="67"/>
    </row>
    <row r="31" spans="1:13" ht="13.5" thickBot="1">
      <c r="A31" s="27" t="s">
        <v>20</v>
      </c>
      <c r="B31" s="28" t="s">
        <v>64</v>
      </c>
      <c r="C31" s="29" t="s">
        <v>30</v>
      </c>
      <c r="D31" s="58">
        <v>122.72</v>
      </c>
      <c r="E31" s="42">
        <f>Коом.пред.!E33</f>
        <v>0</v>
      </c>
      <c r="F31" s="42">
        <v>1500</v>
      </c>
      <c r="G31" s="42">
        <f t="shared" ref="G31" si="9">E31+F31</f>
        <v>1500</v>
      </c>
      <c r="H31" s="42">
        <v>395623.32</v>
      </c>
      <c r="I31" s="42">
        <f>F31*D31</f>
        <v>184080</v>
      </c>
      <c r="J31" s="42">
        <f t="shared" ref="J31" si="10">H31+I31</f>
        <v>579703.32000000007</v>
      </c>
      <c r="K31" s="67">
        <f t="shared" si="3"/>
        <v>10226.666666666666</v>
      </c>
      <c r="L31" s="67">
        <f>H31/18</f>
        <v>21979.073333333334</v>
      </c>
      <c r="M31" s="67"/>
    </row>
    <row r="32" spans="1:13" ht="16.5" thickBot="1">
      <c r="A32" s="153" t="s">
        <v>26</v>
      </c>
      <c r="B32" s="154"/>
      <c r="C32" s="39"/>
      <c r="D32" s="55"/>
      <c r="E32" s="46"/>
      <c r="F32" s="43"/>
      <c r="G32" s="43"/>
      <c r="H32" s="49">
        <f>H31</f>
        <v>395623.32</v>
      </c>
      <c r="I32" s="49">
        <f t="shared" ref="I32" si="11">I31</f>
        <v>184080</v>
      </c>
      <c r="J32" s="49">
        <f>J31</f>
        <v>579703.32000000007</v>
      </c>
      <c r="K32" s="67"/>
      <c r="L32" s="67"/>
      <c r="M32" s="67"/>
    </row>
    <row r="33" spans="1:13" ht="16.5" thickBot="1">
      <c r="A33" s="30" t="s">
        <v>23</v>
      </c>
      <c r="B33" s="31" t="s">
        <v>50</v>
      </c>
      <c r="C33" s="32"/>
      <c r="D33" s="56"/>
      <c r="E33" s="47"/>
      <c r="F33" s="44"/>
      <c r="G33" s="44"/>
      <c r="H33" s="44"/>
      <c r="I33" s="44"/>
      <c r="J33" s="45"/>
      <c r="K33" s="67">
        <f t="shared" si="3"/>
        <v>0</v>
      </c>
      <c r="L33" s="67">
        <f t="shared" si="5"/>
        <v>0</v>
      </c>
      <c r="M33" s="67"/>
    </row>
    <row r="34" spans="1:13">
      <c r="A34" s="27" t="s">
        <v>20</v>
      </c>
      <c r="B34" s="28" t="s">
        <v>65</v>
      </c>
      <c r="C34" s="29" t="s">
        <v>34</v>
      </c>
      <c r="D34" s="58">
        <v>2359.2800000000002</v>
      </c>
      <c r="E34" s="42">
        <f>Коом.пред.!E36</f>
        <v>0</v>
      </c>
      <c r="F34" s="42">
        <v>1500</v>
      </c>
      <c r="G34" s="42">
        <f>E34+F34</f>
        <v>1500</v>
      </c>
      <c r="H34" s="42">
        <v>1307336.1599999999</v>
      </c>
      <c r="I34" s="42">
        <f>F34*D34</f>
        <v>3538920.0000000005</v>
      </c>
      <c r="J34" s="42">
        <f t="shared" ref="J34" si="12">H34+I34</f>
        <v>4846256.16</v>
      </c>
      <c r="K34" s="67">
        <f t="shared" si="3"/>
        <v>196606.66666666669</v>
      </c>
      <c r="L34" s="67">
        <f t="shared" si="5"/>
        <v>72629.786666666667</v>
      </c>
      <c r="M34" s="67"/>
    </row>
    <row r="35" spans="1:13" ht="26.25" thickBot="1">
      <c r="A35" s="25" t="s">
        <v>21</v>
      </c>
      <c r="B35" s="118" t="s">
        <v>126</v>
      </c>
      <c r="C35" s="60" t="s">
        <v>30</v>
      </c>
      <c r="D35" s="88">
        <f>(D34/2.7)*0.12*0.02</f>
        <v>2.0971377777777773</v>
      </c>
      <c r="E35" s="42">
        <f>Коом.пред.!E37</f>
        <v>0</v>
      </c>
      <c r="F35" s="88">
        <v>1500</v>
      </c>
      <c r="G35" s="88">
        <f t="shared" ref="G35" si="13">E35+F35</f>
        <v>1500</v>
      </c>
      <c r="H35" s="42">
        <f>E35*D35</f>
        <v>0</v>
      </c>
      <c r="I35" s="42">
        <f>F35*D35</f>
        <v>3145.706666666666</v>
      </c>
      <c r="J35" s="88">
        <f>H35+I35</f>
        <v>3145.706666666666</v>
      </c>
      <c r="K35" s="67">
        <f t="shared" si="3"/>
        <v>174.76148148148144</v>
      </c>
      <c r="L35">
        <f t="shared" si="5"/>
        <v>0</v>
      </c>
    </row>
    <row r="36" spans="1:13" ht="16.5" thickBot="1">
      <c r="A36" s="153" t="s">
        <v>52</v>
      </c>
      <c r="B36" s="154"/>
      <c r="C36" s="39"/>
      <c r="D36" s="55"/>
      <c r="E36" s="46"/>
      <c r="F36" s="43"/>
      <c r="G36" s="43"/>
      <c r="H36" s="49">
        <f>H34+H35</f>
        <v>1307336.1599999999</v>
      </c>
      <c r="I36" s="49">
        <f>I34+I35</f>
        <v>3542065.706666667</v>
      </c>
      <c r="J36" s="49">
        <f>J34</f>
        <v>4846256.16</v>
      </c>
      <c r="K36" s="67"/>
      <c r="L36" s="67"/>
      <c r="M36" s="67"/>
    </row>
    <row r="37" spans="1:13" ht="16.5" thickBot="1">
      <c r="A37" s="30" t="s">
        <v>44</v>
      </c>
      <c r="B37" s="31" t="s">
        <v>53</v>
      </c>
      <c r="C37" s="32"/>
      <c r="D37" s="56"/>
      <c r="E37" s="47"/>
      <c r="F37" s="44"/>
      <c r="G37" s="44"/>
      <c r="H37" s="44"/>
      <c r="I37" s="44"/>
      <c r="J37" s="45"/>
      <c r="K37" s="67">
        <f t="shared" si="3"/>
        <v>0</v>
      </c>
      <c r="L37" s="67">
        <f t="shared" si="5"/>
        <v>0</v>
      </c>
      <c r="M37" s="67"/>
    </row>
    <row r="38" spans="1:13">
      <c r="A38" s="27" t="s">
        <v>20</v>
      </c>
      <c r="B38" s="28" t="s">
        <v>36</v>
      </c>
      <c r="C38" s="60" t="s">
        <v>34</v>
      </c>
      <c r="D38" s="42">
        <v>1335.03</v>
      </c>
      <c r="E38" s="42">
        <f>Коом.пред.!E40</f>
        <v>0</v>
      </c>
      <c r="F38" s="42">
        <v>400</v>
      </c>
      <c r="G38" s="42">
        <f t="shared" ref="G38:G45" si="14">E38+F38</f>
        <v>400</v>
      </c>
      <c r="H38" s="42">
        <v>515540.82</v>
      </c>
      <c r="I38" s="42">
        <f t="shared" ref="I38:I44" si="15">F38*D38</f>
        <v>534012</v>
      </c>
      <c r="J38" s="42">
        <f t="shared" ref="J38:J44" si="16">H38+I38</f>
        <v>1049552.82</v>
      </c>
      <c r="K38" s="67">
        <f t="shared" si="3"/>
        <v>29667.333333333332</v>
      </c>
      <c r="L38" s="67">
        <f t="shared" si="5"/>
        <v>28641.156666666666</v>
      </c>
      <c r="M38" s="67"/>
    </row>
    <row r="39" spans="1:13">
      <c r="A39" s="25" t="s">
        <v>21</v>
      </c>
      <c r="B39" s="28" t="s">
        <v>38</v>
      </c>
      <c r="C39" s="60" t="s">
        <v>30</v>
      </c>
      <c r="D39" s="42">
        <v>17.350000000000001</v>
      </c>
      <c r="E39" s="42">
        <f>Коом.пред.!E41</f>
        <v>0</v>
      </c>
      <c r="F39" s="42">
        <v>1200</v>
      </c>
      <c r="G39" s="42">
        <f t="shared" si="14"/>
        <v>1200</v>
      </c>
      <c r="H39" s="42">
        <v>85524.04</v>
      </c>
      <c r="I39" s="42">
        <f t="shared" si="15"/>
        <v>20820</v>
      </c>
      <c r="J39" s="42">
        <f t="shared" si="16"/>
        <v>106344.04</v>
      </c>
      <c r="K39" s="67">
        <f t="shared" si="3"/>
        <v>1156.6666666666667</v>
      </c>
      <c r="L39" s="67">
        <f t="shared" si="5"/>
        <v>4751.3355555555554</v>
      </c>
      <c r="M39" s="67"/>
    </row>
    <row r="40" spans="1:13">
      <c r="A40" s="27" t="s">
        <v>22</v>
      </c>
      <c r="B40" s="28" t="s">
        <v>54</v>
      </c>
      <c r="C40" s="59" t="s">
        <v>30</v>
      </c>
      <c r="D40" s="42">
        <v>67.209999999999994</v>
      </c>
      <c r="E40" s="42">
        <f>Коом.пред.!E42</f>
        <v>0</v>
      </c>
      <c r="F40" s="42">
        <v>1500</v>
      </c>
      <c r="G40" s="42">
        <f t="shared" si="14"/>
        <v>1500</v>
      </c>
      <c r="H40" s="42">
        <v>214990.1</v>
      </c>
      <c r="I40" s="42">
        <f t="shared" si="15"/>
        <v>100814.99999999999</v>
      </c>
      <c r="J40" s="42">
        <f t="shared" si="16"/>
        <v>315805.09999999998</v>
      </c>
      <c r="K40" s="67">
        <f t="shared" si="3"/>
        <v>5600.8333333333321</v>
      </c>
      <c r="L40" s="67">
        <f t="shared" si="5"/>
        <v>11943.894444444444</v>
      </c>
      <c r="M40" s="67"/>
    </row>
    <row r="41" spans="1:13">
      <c r="A41" s="25" t="s">
        <v>23</v>
      </c>
      <c r="B41" s="28" t="s">
        <v>55</v>
      </c>
      <c r="C41" s="59" t="s">
        <v>30</v>
      </c>
      <c r="D41" s="42">
        <v>2.2000000000000002</v>
      </c>
      <c r="E41" s="42">
        <f>Коом.пред.!E43</f>
        <v>0</v>
      </c>
      <c r="F41" s="42">
        <v>1500</v>
      </c>
      <c r="G41" s="42">
        <f t="shared" si="14"/>
        <v>1500</v>
      </c>
      <c r="H41" s="42">
        <v>7044.6</v>
      </c>
      <c r="I41" s="42">
        <f t="shared" si="15"/>
        <v>3300.0000000000005</v>
      </c>
      <c r="J41" s="42">
        <f t="shared" si="16"/>
        <v>10344.6</v>
      </c>
      <c r="K41" s="67">
        <f t="shared" si="3"/>
        <v>183.33333333333337</v>
      </c>
      <c r="L41" s="67">
        <f t="shared" si="5"/>
        <v>391.36666666666667</v>
      </c>
      <c r="M41" s="67"/>
    </row>
    <row r="42" spans="1:13" ht="25.5">
      <c r="A42" s="27" t="s">
        <v>44</v>
      </c>
      <c r="B42" s="28" t="s">
        <v>66</v>
      </c>
      <c r="C42" s="59" t="s">
        <v>30</v>
      </c>
      <c r="D42" s="42">
        <v>336.04</v>
      </c>
      <c r="E42" s="42">
        <f>Коом.пред.!E44</f>
        <v>0</v>
      </c>
      <c r="F42" s="42">
        <v>1200</v>
      </c>
      <c r="G42" s="42">
        <f t="shared" si="14"/>
        <v>1200</v>
      </c>
      <c r="H42" s="42">
        <v>1545807.08</v>
      </c>
      <c r="I42" s="42">
        <f t="shared" si="15"/>
        <v>403248</v>
      </c>
      <c r="J42" s="42">
        <f t="shared" si="16"/>
        <v>1949055.08</v>
      </c>
      <c r="K42" s="67">
        <f t="shared" si="3"/>
        <v>22402.666666666668</v>
      </c>
      <c r="L42" s="67">
        <f t="shared" si="5"/>
        <v>85878.171111111122</v>
      </c>
      <c r="M42" s="67"/>
    </row>
    <row r="43" spans="1:13">
      <c r="A43" s="25" t="s">
        <v>45</v>
      </c>
      <c r="B43" s="54" t="s">
        <v>57</v>
      </c>
      <c r="C43" s="59" t="s">
        <v>30</v>
      </c>
      <c r="D43" s="42">
        <v>10.3</v>
      </c>
      <c r="E43" s="42">
        <f>Коом.пред.!E45</f>
        <v>0</v>
      </c>
      <c r="F43" s="42">
        <v>1500</v>
      </c>
      <c r="G43" s="42">
        <f t="shared" si="14"/>
        <v>1500</v>
      </c>
      <c r="H43" s="42">
        <v>33067.17</v>
      </c>
      <c r="I43" s="42">
        <f t="shared" si="15"/>
        <v>15450.000000000002</v>
      </c>
      <c r="J43" s="42">
        <f t="shared" si="16"/>
        <v>48517.17</v>
      </c>
      <c r="K43" s="67">
        <f t="shared" si="3"/>
        <v>858.33333333333348</v>
      </c>
      <c r="L43" s="67">
        <f t="shared" si="5"/>
        <v>1837.0649999999998</v>
      </c>
      <c r="M43" s="67"/>
    </row>
    <row r="44" spans="1:13">
      <c r="A44" s="27" t="s">
        <v>46</v>
      </c>
      <c r="B44" s="54" t="s">
        <v>56</v>
      </c>
      <c r="C44" s="59" t="s">
        <v>34</v>
      </c>
      <c r="D44" s="42">
        <v>77.7</v>
      </c>
      <c r="E44" s="42">
        <f>Коом.пред.!E46</f>
        <v>0</v>
      </c>
      <c r="F44" s="42">
        <v>1500</v>
      </c>
      <c r="G44" s="42">
        <f t="shared" si="14"/>
        <v>1500</v>
      </c>
      <c r="H44" s="42">
        <v>30007.4</v>
      </c>
      <c r="I44" s="42">
        <f t="shared" si="15"/>
        <v>116550</v>
      </c>
      <c r="J44" s="42">
        <f t="shared" si="16"/>
        <v>146557.4</v>
      </c>
      <c r="K44" s="67">
        <f t="shared" si="3"/>
        <v>6475</v>
      </c>
      <c r="L44" s="67">
        <f t="shared" si="5"/>
        <v>1667.0777777777778</v>
      </c>
      <c r="M44" s="67"/>
    </row>
    <row r="45" spans="1:13" ht="25.5">
      <c r="A45" s="25" t="s">
        <v>124</v>
      </c>
      <c r="B45" s="118" t="s">
        <v>126</v>
      </c>
      <c r="C45" s="60" t="s">
        <v>30</v>
      </c>
      <c r="D45" s="88">
        <f>((D38/2.7)*0.12+(D39/0.2/2.7)*0.2+(D40/0.25/2.7)*0.25+(D41/0.38/2.7)*0.38+(D42/0.4/2.7)*0.4+(D43/0.25/2.7)*0.25+(D44/2.7)*0.12)*0.02</f>
        <v>4.463908148148148</v>
      </c>
      <c r="E45" s="42">
        <f>Коом.пред.!E47</f>
        <v>0</v>
      </c>
      <c r="F45" s="88">
        <v>1500</v>
      </c>
      <c r="G45" s="88">
        <f t="shared" si="14"/>
        <v>1500</v>
      </c>
      <c r="H45" s="42">
        <f>E45*D45</f>
        <v>0</v>
      </c>
      <c r="I45" s="42">
        <f>F45*D45</f>
        <v>6695.862222222222</v>
      </c>
      <c r="J45" s="88">
        <f>H45+I45</f>
        <v>6695.862222222222</v>
      </c>
      <c r="K45" s="67">
        <f t="shared" si="3"/>
        <v>371.99234567901232</v>
      </c>
      <c r="L45">
        <f t="shared" si="5"/>
        <v>0</v>
      </c>
    </row>
    <row r="46" spans="1:13" ht="16.5" thickBot="1">
      <c r="A46" s="151" t="s">
        <v>59</v>
      </c>
      <c r="B46" s="152"/>
      <c r="C46" s="50"/>
      <c r="D46" s="57"/>
      <c r="E46" s="51"/>
      <c r="F46" s="52"/>
      <c r="G46" s="42"/>
      <c r="H46" s="53">
        <f t="shared" ref="H46:I46" si="17">SUM(H38:H44)</f>
        <v>2431981.21</v>
      </c>
      <c r="I46" s="53">
        <f t="shared" si="17"/>
        <v>1194195</v>
      </c>
      <c r="J46" s="53">
        <f>SUM(J38:J44)</f>
        <v>3626176.21</v>
      </c>
      <c r="K46" s="67"/>
      <c r="L46" s="67"/>
      <c r="M46" s="67"/>
    </row>
    <row r="47" spans="1:13" ht="16.5" thickBot="1">
      <c r="A47" s="30" t="s">
        <v>45</v>
      </c>
      <c r="B47" s="31" t="s">
        <v>58</v>
      </c>
      <c r="C47" s="32"/>
      <c r="D47" s="56"/>
      <c r="E47" s="47"/>
      <c r="F47" s="44"/>
      <c r="G47" s="44"/>
      <c r="H47" s="44"/>
      <c r="I47" s="44"/>
      <c r="J47" s="45"/>
      <c r="K47" s="67">
        <f t="shared" si="3"/>
        <v>0</v>
      </c>
      <c r="L47" s="67">
        <f t="shared" si="5"/>
        <v>0</v>
      </c>
      <c r="M47" s="67"/>
    </row>
    <row r="48" spans="1:13">
      <c r="A48" s="27" t="s">
        <v>20</v>
      </c>
      <c r="B48" s="28" t="s">
        <v>141</v>
      </c>
      <c r="C48" s="29" t="s">
        <v>61</v>
      </c>
      <c r="D48" s="58">
        <v>1</v>
      </c>
      <c r="E48" s="42">
        <f>158.7*33000+1674*250+800000</f>
        <v>6455600</v>
      </c>
      <c r="F48" s="42">
        <v>0</v>
      </c>
      <c r="G48" s="42">
        <f>E48+F48</f>
        <v>6455600</v>
      </c>
      <c r="H48" s="42">
        <f>E48*D48</f>
        <v>6455600</v>
      </c>
      <c r="I48" s="42">
        <f t="shared" ref="I48:I49" si="18">F48*D48</f>
        <v>0</v>
      </c>
      <c r="J48" s="42">
        <f t="shared" ref="J48:J49" si="19">H48+I48</f>
        <v>6455600</v>
      </c>
      <c r="K48" s="67">
        <f t="shared" si="3"/>
        <v>0</v>
      </c>
      <c r="L48" s="67">
        <f>H48/18</f>
        <v>358644.44444444444</v>
      </c>
      <c r="M48" s="67"/>
    </row>
    <row r="49" spans="1:14" ht="13.5" thickBot="1">
      <c r="A49" s="27" t="s">
        <v>21</v>
      </c>
      <c r="B49" s="28" t="s">
        <v>142</v>
      </c>
      <c r="C49" s="29" t="s">
        <v>61</v>
      </c>
      <c r="D49" s="58">
        <v>1</v>
      </c>
      <c r="E49" s="42">
        <f>2.3*33000+126*300</f>
        <v>113700</v>
      </c>
      <c r="F49" s="42">
        <v>0</v>
      </c>
      <c r="G49" s="42">
        <f>E49+F49</f>
        <v>113700</v>
      </c>
      <c r="H49" s="42">
        <f>E49*D49</f>
        <v>113700</v>
      </c>
      <c r="I49" s="42">
        <f t="shared" si="18"/>
        <v>0</v>
      </c>
      <c r="J49" s="42">
        <f t="shared" si="19"/>
        <v>113700</v>
      </c>
      <c r="K49" s="67">
        <f t="shared" si="3"/>
        <v>0</v>
      </c>
      <c r="L49" s="67">
        <f t="shared" si="5"/>
        <v>6316.666666666667</v>
      </c>
      <c r="M49" s="67"/>
    </row>
    <row r="50" spans="1:14" ht="16.5" thickBot="1">
      <c r="A50" s="153" t="s">
        <v>63</v>
      </c>
      <c r="B50" s="154"/>
      <c r="C50" s="39"/>
      <c r="D50" s="55"/>
      <c r="E50" s="46"/>
      <c r="F50" s="43"/>
      <c r="G50" s="43"/>
      <c r="H50" s="49">
        <f>H48+H49</f>
        <v>6569300</v>
      </c>
      <c r="I50" s="49">
        <f>I48+I49</f>
        <v>0</v>
      </c>
      <c r="J50" s="49">
        <f>J48+J49</f>
        <v>6569300</v>
      </c>
      <c r="L50" s="67"/>
      <c r="M50" s="67"/>
    </row>
    <row r="51" spans="1:14" ht="15.75" thickBot="1">
      <c r="A51" s="171" t="s">
        <v>27</v>
      </c>
      <c r="B51" s="172"/>
      <c r="C51" s="40"/>
      <c r="D51" s="41"/>
      <c r="E51" s="48"/>
      <c r="F51" s="48"/>
      <c r="G51" s="48"/>
      <c r="H51" s="61">
        <f>H19+H29+H32+H36+H46+H50</f>
        <v>67905377.282351851</v>
      </c>
      <c r="I51" s="61">
        <f>I19+I29+I32+I36+I46+I50</f>
        <v>25806825.842777777</v>
      </c>
      <c r="J51" s="61">
        <f>J19+J29+J32+J36+J46+J50</f>
        <v>93709057.418462947</v>
      </c>
      <c r="K51" s="61">
        <f>SUM(K14:K50)</f>
        <v>1434084.5391666666</v>
      </c>
      <c r="L51" s="61">
        <f>SUM(L14:L50)</f>
        <v>3772520.960130658</v>
      </c>
      <c r="M51" s="61">
        <f>K51+L51</f>
        <v>5206605.4992973246</v>
      </c>
      <c r="N51" s="82" t="s">
        <v>113</v>
      </c>
    </row>
    <row r="52" spans="1:14" ht="15">
      <c r="A52" s="62"/>
      <c r="B52" s="62" t="s">
        <v>74</v>
      </c>
      <c r="C52" s="63"/>
      <c r="D52" s="64"/>
      <c r="E52" s="65"/>
      <c r="F52" s="65"/>
      <c r="G52" s="65"/>
      <c r="H52" s="66"/>
      <c r="I52" s="66"/>
      <c r="J52" s="66">
        <f>I51</f>
        <v>25806825.842777777</v>
      </c>
      <c r="K52" s="67"/>
      <c r="L52" s="67"/>
      <c r="M52" s="67"/>
      <c r="N52" s="82"/>
    </row>
    <row r="53" spans="1:14" ht="15">
      <c r="A53" s="62"/>
      <c r="B53" s="62" t="s">
        <v>75</v>
      </c>
      <c r="C53" s="63"/>
      <c r="D53" s="64"/>
      <c r="E53" s="65"/>
      <c r="F53" s="65"/>
      <c r="G53" s="65"/>
      <c r="H53" s="66"/>
      <c r="I53" s="66"/>
      <c r="J53" s="66">
        <f>H51</f>
        <v>67905377.282351851</v>
      </c>
      <c r="K53" s="67"/>
      <c r="L53" s="67"/>
      <c r="M53" s="67">
        <f>L51</f>
        <v>3772520.960130658</v>
      </c>
      <c r="N53" s="82" t="s">
        <v>143</v>
      </c>
    </row>
    <row r="54" spans="1:14" ht="22.5">
      <c r="B54" s="74" t="s">
        <v>102</v>
      </c>
      <c r="C54" s="1" t="s">
        <v>67</v>
      </c>
      <c r="D54" s="75">
        <v>18</v>
      </c>
      <c r="E54" s="67"/>
      <c r="F54" s="67"/>
      <c r="G54" s="67">
        <f>130000*2+140000*6/17</f>
        <v>309411.76470588235</v>
      </c>
      <c r="H54" s="67"/>
      <c r="I54" s="67"/>
      <c r="J54" s="67">
        <f>G54*D54</f>
        <v>5569411.7647058824</v>
      </c>
      <c r="K54" s="67">
        <f>I51/18</f>
        <v>1433712.5468209877</v>
      </c>
      <c r="L54" s="67"/>
      <c r="M54" s="67">
        <f t="shared" ref="M54:M55" si="20">K54+L54</f>
        <v>1433712.5468209877</v>
      </c>
      <c r="N54" s="82" t="s">
        <v>110</v>
      </c>
    </row>
    <row r="55" spans="1:14">
      <c r="B55" s="74" t="s">
        <v>101</v>
      </c>
      <c r="C55" s="1" t="s">
        <v>67</v>
      </c>
      <c r="D55" s="75">
        <v>18</v>
      </c>
      <c r="E55" s="67"/>
      <c r="F55" s="67"/>
      <c r="G55" s="67">
        <f>7500*4</f>
        <v>30000</v>
      </c>
      <c r="H55" s="67"/>
      <c r="I55" s="67"/>
      <c r="J55" s="67">
        <f>G55*D55</f>
        <v>540000</v>
      </c>
      <c r="K55" s="67">
        <f>J74/18</f>
        <v>1714113.3521543783</v>
      </c>
      <c r="L55" s="67"/>
      <c r="M55" s="67">
        <f t="shared" si="20"/>
        <v>1714113.3521543783</v>
      </c>
      <c r="N55" s="82" t="s">
        <v>111</v>
      </c>
    </row>
    <row r="56" spans="1:14">
      <c r="B56" s="74" t="s">
        <v>91</v>
      </c>
      <c r="C56" s="1" t="s">
        <v>92</v>
      </c>
      <c r="D56" s="75">
        <f>3*8*4.5*18</f>
        <v>1944</v>
      </c>
      <c r="E56" s="67"/>
      <c r="F56" s="67"/>
      <c r="G56" s="67">
        <v>1500</v>
      </c>
      <c r="H56" s="67"/>
      <c r="I56" s="67"/>
      <c r="J56" s="67">
        <f>G56*D56</f>
        <v>2916000</v>
      </c>
      <c r="K56" s="67">
        <f>SUM(K53:K55)</f>
        <v>3147825.8989753658</v>
      </c>
      <c r="L56" s="67"/>
      <c r="M56" s="67">
        <f>M53+M54+M55</f>
        <v>6920346.8591060247</v>
      </c>
      <c r="N56" s="82" t="s">
        <v>116</v>
      </c>
    </row>
    <row r="57" spans="1:14">
      <c r="B57" s="74" t="s">
        <v>134</v>
      </c>
      <c r="C57" s="1" t="s">
        <v>67</v>
      </c>
      <c r="D57" s="75">
        <v>18</v>
      </c>
      <c r="E57" s="67"/>
      <c r="F57" s="67"/>
      <c r="G57" s="67">
        <f>30000*2</f>
        <v>60000</v>
      </c>
      <c r="H57" s="67"/>
      <c r="I57" s="67"/>
      <c r="J57" s="67">
        <f>G57*D57</f>
        <v>1080000</v>
      </c>
      <c r="K57" s="67"/>
      <c r="L57" s="67"/>
      <c r="M57" s="67"/>
      <c r="N57" s="82"/>
    </row>
    <row r="58" spans="1:14" ht="22.5">
      <c r="B58" s="74" t="s">
        <v>133</v>
      </c>
      <c r="C58" s="1" t="s">
        <v>67</v>
      </c>
      <c r="D58" s="75">
        <v>18</v>
      </c>
      <c r="E58" s="67"/>
      <c r="F58" s="67"/>
      <c r="G58" s="67">
        <f>(48*10*25)*3.69</f>
        <v>44280</v>
      </c>
      <c r="H58" s="67"/>
      <c r="I58" s="67"/>
      <c r="J58" s="67">
        <f t="shared" ref="J58:J71" si="21">G58*D58</f>
        <v>797040</v>
      </c>
      <c r="K58" s="110" t="s">
        <v>114</v>
      </c>
      <c r="L58" s="110" t="s">
        <v>115</v>
      </c>
      <c r="M58" s="110" t="s">
        <v>27</v>
      </c>
    </row>
    <row r="59" spans="1:14">
      <c r="B59" s="2" t="s">
        <v>103</v>
      </c>
      <c r="C59" s="1" t="s">
        <v>67</v>
      </c>
      <c r="D59" s="75">
        <v>18</v>
      </c>
      <c r="E59" s="67"/>
      <c r="F59" s="67"/>
      <c r="G59" s="67">
        <v>30000</v>
      </c>
      <c r="H59" s="67"/>
      <c r="I59" s="67"/>
      <c r="J59" s="67">
        <f t="shared" ref="J59" si="22">G59*D59</f>
        <v>540000</v>
      </c>
    </row>
    <row r="60" spans="1:14">
      <c r="B60" s="2" t="s">
        <v>104</v>
      </c>
      <c r="C60" s="1" t="s">
        <v>67</v>
      </c>
      <c r="D60" s="75">
        <v>18</v>
      </c>
      <c r="E60" s="67"/>
      <c r="F60" s="67"/>
      <c r="G60" s="67">
        <v>40000</v>
      </c>
      <c r="H60" s="67"/>
      <c r="I60" s="67"/>
      <c r="J60" s="67">
        <f t="shared" si="21"/>
        <v>720000</v>
      </c>
    </row>
    <row r="61" spans="1:14">
      <c r="B61" s="2" t="s">
        <v>106</v>
      </c>
      <c r="C61" s="1" t="s">
        <v>67</v>
      </c>
      <c r="D61" s="75">
        <v>18</v>
      </c>
      <c r="E61" s="67"/>
      <c r="F61" s="67"/>
      <c r="G61" s="67">
        <v>1200</v>
      </c>
      <c r="H61" s="67"/>
      <c r="I61" s="67"/>
      <c r="J61" s="67">
        <f t="shared" ref="J61" si="23">G61*D61</f>
        <v>21600</v>
      </c>
    </row>
    <row r="62" spans="1:14">
      <c r="B62" s="2" t="s">
        <v>107</v>
      </c>
      <c r="C62" s="1" t="s">
        <v>34</v>
      </c>
      <c r="D62" s="75">
        <v>320</v>
      </c>
      <c r="E62" s="67"/>
      <c r="F62" s="67"/>
      <c r="G62" s="67">
        <v>600</v>
      </c>
      <c r="H62" s="67"/>
      <c r="I62" s="67"/>
      <c r="J62" s="67">
        <f t="shared" ref="J62" si="24">G62*D62</f>
        <v>192000</v>
      </c>
    </row>
    <row r="63" spans="1:14">
      <c r="B63" s="2" t="s">
        <v>105</v>
      </c>
      <c r="C63" s="1" t="s">
        <v>67</v>
      </c>
      <c r="D63" s="75">
        <v>18</v>
      </c>
      <c r="E63" s="67"/>
      <c r="F63" s="67"/>
      <c r="G63" s="67">
        <f>2*40000+50000+60000</f>
        <v>190000</v>
      </c>
      <c r="H63" s="67"/>
      <c r="I63" s="67"/>
      <c r="J63" s="67">
        <f t="shared" si="21"/>
        <v>3420000</v>
      </c>
    </row>
    <row r="64" spans="1:14">
      <c r="B64" s="2" t="s">
        <v>68</v>
      </c>
      <c r="C64" s="1" t="s">
        <v>69</v>
      </c>
      <c r="D64" s="75">
        <v>8</v>
      </c>
      <c r="E64" s="67"/>
      <c r="F64" s="67"/>
      <c r="G64" s="67"/>
      <c r="H64" s="67"/>
      <c r="I64" s="67"/>
      <c r="J64" s="67">
        <f>(I51+J63/2)*D64%</f>
        <v>2201346.0674222223</v>
      </c>
      <c r="K64" s="67"/>
      <c r="L64" s="67"/>
      <c r="M64" s="67"/>
    </row>
    <row r="65" spans="1:14">
      <c r="B65" s="2" t="s">
        <v>70</v>
      </c>
      <c r="C65" s="1" t="s">
        <v>67</v>
      </c>
      <c r="D65" s="75">
        <v>18</v>
      </c>
      <c r="E65" s="67"/>
      <c r="F65" s="67"/>
      <c r="G65" s="67">
        <v>20000</v>
      </c>
      <c r="H65" s="67"/>
      <c r="I65" s="67"/>
      <c r="J65" s="67">
        <f t="shared" si="21"/>
        <v>360000</v>
      </c>
    </row>
    <row r="66" spans="1:14">
      <c r="B66" s="2" t="s">
        <v>71</v>
      </c>
      <c r="C66" s="1" t="s">
        <v>67</v>
      </c>
      <c r="D66" s="75">
        <v>18</v>
      </c>
      <c r="E66" s="67"/>
      <c r="F66" s="67"/>
      <c r="G66" s="67">
        <v>20000</v>
      </c>
      <c r="H66" s="67"/>
      <c r="I66" s="67"/>
      <c r="J66" s="67">
        <f t="shared" si="21"/>
        <v>360000</v>
      </c>
    </row>
    <row r="67" spans="1:14">
      <c r="B67" s="2" t="s">
        <v>127</v>
      </c>
      <c r="C67" s="1" t="s">
        <v>67</v>
      </c>
      <c r="D67" s="75">
        <v>18</v>
      </c>
      <c r="E67" s="67"/>
      <c r="F67" s="67"/>
      <c r="G67" s="67">
        <v>250000</v>
      </c>
      <c r="H67" s="67"/>
      <c r="I67" s="67"/>
      <c r="J67" s="67">
        <f t="shared" si="21"/>
        <v>4500000</v>
      </c>
    </row>
    <row r="68" spans="1:14">
      <c r="B68" s="2" t="s">
        <v>136</v>
      </c>
      <c r="C68" s="1" t="s">
        <v>67</v>
      </c>
      <c r="D68" s="75">
        <v>18</v>
      </c>
      <c r="E68" s="67"/>
      <c r="F68" s="67"/>
      <c r="G68" s="67">
        <v>36000</v>
      </c>
      <c r="H68" s="67"/>
      <c r="I68" s="67"/>
      <c r="J68" s="67">
        <f t="shared" si="21"/>
        <v>648000</v>
      </c>
    </row>
    <row r="69" spans="1:14">
      <c r="B69" s="2" t="s">
        <v>135</v>
      </c>
      <c r="C69" s="1" t="s">
        <v>67</v>
      </c>
      <c r="D69" s="75">
        <v>18</v>
      </c>
      <c r="E69" s="67"/>
      <c r="F69" s="67"/>
      <c r="G69" s="67">
        <v>15000</v>
      </c>
      <c r="H69" s="67"/>
      <c r="I69" s="67"/>
      <c r="J69" s="67">
        <f t="shared" si="21"/>
        <v>270000</v>
      </c>
    </row>
    <row r="70" spans="1:14">
      <c r="B70" s="2" t="s">
        <v>138</v>
      </c>
      <c r="C70" s="1" t="s">
        <v>67</v>
      </c>
      <c r="D70" s="75">
        <v>18</v>
      </c>
      <c r="E70" s="67"/>
      <c r="F70" s="67"/>
      <c r="G70" s="67"/>
      <c r="H70" s="67"/>
      <c r="I70" s="67"/>
      <c r="J70" s="67"/>
    </row>
    <row r="71" spans="1:14">
      <c r="B71" s="2" t="s">
        <v>139</v>
      </c>
      <c r="C71" s="96" t="s">
        <v>30</v>
      </c>
      <c r="D71" s="75">
        <f>4*6</f>
        <v>24</v>
      </c>
      <c r="E71" s="67"/>
      <c r="F71" s="67"/>
      <c r="G71" s="67">
        <v>7500</v>
      </c>
      <c r="H71" s="67"/>
      <c r="I71" s="67"/>
      <c r="J71" s="67">
        <f t="shared" si="21"/>
        <v>180000</v>
      </c>
    </row>
    <row r="72" spans="1:14">
      <c r="B72" s="2" t="s">
        <v>140</v>
      </c>
      <c r="C72" s="96" t="s">
        <v>67</v>
      </c>
      <c r="D72" s="75">
        <v>18</v>
      </c>
      <c r="E72" s="67"/>
      <c r="F72" s="67"/>
      <c r="G72" s="67">
        <f>40000*2</f>
        <v>80000</v>
      </c>
      <c r="H72" s="67"/>
      <c r="I72" s="67"/>
      <c r="J72" s="67">
        <f t="shared" ref="J72" si="25">G72*D72</f>
        <v>1440000</v>
      </c>
    </row>
    <row r="73" spans="1:14">
      <c r="A73" s="3" t="s">
        <v>90</v>
      </c>
      <c r="B73" s="2" t="s">
        <v>86</v>
      </c>
      <c r="C73" s="1" t="s">
        <v>69</v>
      </c>
      <c r="D73" s="99">
        <v>3.5</v>
      </c>
      <c r="E73" s="67"/>
      <c r="F73" s="67"/>
      <c r="G73" s="67"/>
      <c r="H73" s="67"/>
      <c r="I73" s="67"/>
      <c r="J73" s="67">
        <f>J78*D73%</f>
        <v>5098642.506650703</v>
      </c>
    </row>
    <row r="74" spans="1:14">
      <c r="A74" s="76"/>
      <c r="B74" s="77" t="s">
        <v>73</v>
      </c>
      <c r="C74" s="78"/>
      <c r="D74" s="79"/>
      <c r="E74" s="80"/>
      <c r="F74" s="80"/>
      <c r="G74" s="80"/>
      <c r="H74" s="80"/>
      <c r="I74" s="80"/>
      <c r="J74" s="80">
        <f>SUM(J54:J73)</f>
        <v>30854040.338778809</v>
      </c>
    </row>
    <row r="75" spans="1:14">
      <c r="B75" s="73" t="s">
        <v>72</v>
      </c>
      <c r="C75" s="69"/>
      <c r="D75" s="71"/>
      <c r="E75" s="72"/>
      <c r="F75" s="72"/>
      <c r="G75" s="72"/>
      <c r="H75" s="72"/>
      <c r="I75" s="72"/>
      <c r="J75" s="70">
        <f>J52+J53+J74</f>
        <v>124566243.46390843</v>
      </c>
    </row>
    <row r="76" spans="1:14" ht="51">
      <c r="B76" s="2" t="s">
        <v>76</v>
      </c>
      <c r="J76" s="67">
        <f>J78-'Себестоимость (в худшем)'!J75</f>
        <v>21109256.72611165</v>
      </c>
      <c r="K76" s="81">
        <f>J76/J78</f>
        <v>0.14490601850398041</v>
      </c>
      <c r="L76" s="81"/>
      <c r="M76" s="81"/>
      <c r="N76" s="101" t="s">
        <v>79</v>
      </c>
    </row>
    <row r="77" spans="1:14" ht="25.5">
      <c r="J77" s="67"/>
      <c r="K77" s="81">
        <f>J76/(J52)</f>
        <v>0.81797183639378979</v>
      </c>
      <c r="L77" s="81"/>
      <c r="M77" s="81"/>
      <c r="N77" s="101" t="s">
        <v>78</v>
      </c>
    </row>
    <row r="78" spans="1:14">
      <c r="B78" s="68" t="s">
        <v>83</v>
      </c>
      <c r="C78" s="69" t="s">
        <v>82</v>
      </c>
      <c r="D78" s="71"/>
      <c r="E78" s="72"/>
      <c r="F78" s="72"/>
      <c r="G78" s="72"/>
      <c r="H78" s="72"/>
      <c r="I78" s="72"/>
      <c r="J78" s="70">
        <f>Коом.пред.!J64</f>
        <v>145675500.19002008</v>
      </c>
    </row>
    <row r="79" spans="1:14">
      <c r="B79" s="2" t="s">
        <v>80</v>
      </c>
      <c r="C79" s="1" t="s">
        <v>69</v>
      </c>
      <c r="D79" s="75">
        <f>100-D80</f>
        <v>80</v>
      </c>
      <c r="J79" s="67">
        <f>J78*D79%</f>
        <v>116540400.15201607</v>
      </c>
    </row>
    <row r="80" spans="1:14">
      <c r="B80" s="2" t="s">
        <v>81</v>
      </c>
      <c r="C80" s="1" t="s">
        <v>69</v>
      </c>
      <c r="D80" s="75">
        <v>20</v>
      </c>
      <c r="J80" s="67">
        <f>J78*D80%</f>
        <v>29135100.038004018</v>
      </c>
    </row>
    <row r="82" spans="1:12" s="1" customFormat="1">
      <c r="A82"/>
      <c r="B82" s="72" t="s">
        <v>84</v>
      </c>
      <c r="C82" s="69"/>
      <c r="D82" s="71"/>
      <c r="E82" s="72"/>
      <c r="F82" s="72"/>
      <c r="G82" s="72"/>
      <c r="H82" s="72"/>
      <c r="I82" s="72"/>
      <c r="J82" s="70">
        <f>J78-J80-J52-J53-J74</f>
        <v>-8025843.3118923604</v>
      </c>
      <c r="L82" s="111"/>
    </row>
    <row r="83" spans="1:12" s="1" customFormat="1">
      <c r="A83"/>
      <c r="B83"/>
      <c r="D83" s="4"/>
      <c r="E83"/>
      <c r="F83"/>
      <c r="G83"/>
      <c r="H83"/>
      <c r="I83"/>
      <c r="J83"/>
    </row>
    <row r="84" spans="1:12">
      <c r="B84" s="2" t="s">
        <v>85</v>
      </c>
    </row>
    <row r="86" spans="1:12">
      <c r="A86" s="3" t="s">
        <v>90</v>
      </c>
      <c r="B86" s="2" t="s">
        <v>87</v>
      </c>
      <c r="C86" s="100" t="s">
        <v>69</v>
      </c>
      <c r="D86" s="4">
        <v>2</v>
      </c>
      <c r="J86" s="67">
        <f>J78*D86%</f>
        <v>2913510.0038004019</v>
      </c>
    </row>
    <row r="87" spans="1:12">
      <c r="A87" s="3" t="s">
        <v>90</v>
      </c>
      <c r="B87" s="2" t="s">
        <v>88</v>
      </c>
      <c r="C87" s="100" t="s">
        <v>69</v>
      </c>
      <c r="D87" s="4">
        <v>2</v>
      </c>
      <c r="J87" s="67">
        <f>J78*D87%</f>
        <v>2913510.0038004019</v>
      </c>
    </row>
    <row r="88" spans="1:12">
      <c r="A88" s="3" t="s">
        <v>90</v>
      </c>
      <c r="B88" s="2" t="s">
        <v>89</v>
      </c>
      <c r="C88" s="96" t="s">
        <v>69</v>
      </c>
      <c r="D88" s="4">
        <v>2</v>
      </c>
      <c r="J88" s="67">
        <f>J78*D88%</f>
        <v>2913510.0038004019</v>
      </c>
    </row>
  </sheetData>
  <autoFilter ref="A9:C32"/>
  <mergeCells count="14">
    <mergeCell ref="A5:J7"/>
    <mergeCell ref="A9:A11"/>
    <mergeCell ref="B9:B11"/>
    <mergeCell ref="C9:C11"/>
    <mergeCell ref="D9:D11"/>
    <mergeCell ref="E9:G10"/>
    <mergeCell ref="H9:J10"/>
    <mergeCell ref="A51:B51"/>
    <mergeCell ref="A19:B19"/>
    <mergeCell ref="A29:B29"/>
    <mergeCell ref="A32:B32"/>
    <mergeCell ref="A36:B36"/>
    <mergeCell ref="A46:B46"/>
    <mergeCell ref="A50:B50"/>
  </mergeCells>
  <printOptions horizontalCentered="1"/>
  <pageMargins left="0.31496062992125984" right="0.19685039370078741" top="0.35433070866141736" bottom="0.15748031496062992" header="0.31496062992125984" footer="0.31496062992125984"/>
  <pageSetup paperSize="8" scale="65" fitToHeight="39" orientation="portrait" r:id="rId1"/>
  <headerFooter>
    <oddFooter>&amp;C&amp;P</oddFoot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4"/>
  <sheetViews>
    <sheetView topLeftCell="A7" zoomScaleNormal="100" zoomScaleSheetLayoutView="100" workbookViewId="0">
      <selection activeCell="F18" sqref="F18"/>
    </sheetView>
  </sheetViews>
  <sheetFormatPr defaultRowHeight="12.75"/>
  <cols>
    <col min="1" max="1" width="11.42578125" style="3" customWidth="1"/>
    <col min="2" max="2" width="48.42578125" style="2" customWidth="1"/>
    <col min="3" max="3" width="6" style="1" customWidth="1"/>
    <col min="4" max="4" width="10.85546875" style="4" customWidth="1"/>
    <col min="5" max="5" width="11.5703125" customWidth="1"/>
    <col min="6" max="6" width="11.42578125" customWidth="1"/>
    <col min="7" max="7" width="12.42578125" customWidth="1"/>
    <col min="8" max="8" width="13" customWidth="1"/>
    <col min="9" max="9" width="13.5703125" customWidth="1"/>
    <col min="10" max="10" width="15.28515625" customWidth="1"/>
    <col min="11" max="11" width="12" customWidth="1"/>
    <col min="12" max="12" width="12.42578125" customWidth="1"/>
    <col min="13" max="13" width="13.42578125" customWidth="1"/>
    <col min="14" max="15" width="10.7109375" customWidth="1"/>
    <col min="16" max="16" width="13.42578125" customWidth="1"/>
    <col min="17" max="18" width="10.28515625" customWidth="1"/>
    <col min="19" max="19" width="11.85546875" bestFit="1" customWidth="1"/>
  </cols>
  <sheetData>
    <row r="1" spans="1:15">
      <c r="A1" s="16" t="s">
        <v>18</v>
      </c>
      <c r="D1" s="82" t="s">
        <v>163</v>
      </c>
      <c r="E1" s="82" t="s">
        <v>144</v>
      </c>
      <c r="F1" s="82" t="s">
        <v>145</v>
      </c>
      <c r="G1" s="82" t="s">
        <v>146</v>
      </c>
      <c r="H1" s="82" t="s">
        <v>151</v>
      </c>
      <c r="I1" s="82" t="s">
        <v>150</v>
      </c>
      <c r="J1" s="82" t="s">
        <v>152</v>
      </c>
      <c r="K1" s="82" t="s">
        <v>154</v>
      </c>
      <c r="L1" s="82" t="s">
        <v>153</v>
      </c>
      <c r="M1" s="184" t="s">
        <v>162</v>
      </c>
    </row>
    <row r="2" spans="1:15" ht="15" customHeight="1">
      <c r="C2" s="109" t="s">
        <v>147</v>
      </c>
      <c r="D2" s="82"/>
      <c r="E2" s="124">
        <f>D16+D17+D23*0.12</f>
        <v>5425.5300000000007</v>
      </c>
      <c r="F2" s="124">
        <f>E2*0.22</f>
        <v>1193.6166000000001</v>
      </c>
      <c r="G2" s="124">
        <f>E2*0.78</f>
        <v>4231.9134000000004</v>
      </c>
      <c r="H2" s="67">
        <v>0</v>
      </c>
      <c r="I2" s="67">
        <f>D27*0.1</f>
        <v>3280</v>
      </c>
      <c r="J2" s="67">
        <f>(H2+I2)*165/1000</f>
        <v>541.20000000000005</v>
      </c>
      <c r="K2" s="67">
        <f>Объёмы!B11+Объёмы!B12</f>
        <v>27.33728</v>
      </c>
      <c r="L2" s="128">
        <f>E2*1.98+H2*0.6+I2*1.35+J2+K2</f>
        <v>15739.086680000002</v>
      </c>
      <c r="M2" s="184"/>
    </row>
    <row r="3" spans="1:15" ht="25.5" customHeight="1">
      <c r="C3" s="109" t="s">
        <v>148</v>
      </c>
      <c r="D3" s="82"/>
      <c r="E3" s="67">
        <f>E2/(N6*25)</f>
        <v>18.085100000000001</v>
      </c>
      <c r="F3" s="128">
        <f>E3*0.22</f>
        <v>3.9787220000000003</v>
      </c>
      <c r="G3" s="124">
        <f>E3*0.78</f>
        <v>14.106378000000001</v>
      </c>
      <c r="H3" s="124">
        <f>H2/(18*25)</f>
        <v>0</v>
      </c>
      <c r="I3" s="124">
        <f>I2/(N6*25)</f>
        <v>10.933333333333334</v>
      </c>
      <c r="J3" s="124"/>
      <c r="K3" s="124"/>
      <c r="L3" s="128">
        <f>L2/(25*18)</f>
        <v>34.975748177777781</v>
      </c>
      <c r="M3" s="184"/>
      <c r="N3" s="124"/>
    </row>
    <row r="4" spans="1:15" ht="16.5" customHeight="1">
      <c r="C4" s="132" t="s">
        <v>164</v>
      </c>
      <c r="D4" s="145">
        <v>4</v>
      </c>
      <c r="E4" s="146">
        <f>E3*M16/8</f>
        <v>12.207442500000001</v>
      </c>
      <c r="F4" s="145"/>
      <c r="G4" s="145"/>
      <c r="H4" s="145"/>
      <c r="I4" s="146">
        <f>(I3/0.1)*M27/8</f>
        <v>13.666666666666666</v>
      </c>
      <c r="J4" s="145"/>
      <c r="K4" s="145">
        <v>2</v>
      </c>
      <c r="L4" s="125">
        <f>K4+I4+H4+E4+D4</f>
        <v>31.874109166666667</v>
      </c>
      <c r="M4" s="124">
        <f>10/(L3/1.6)</f>
        <v>0.45745983527425366</v>
      </c>
      <c r="N4" s="128">
        <f>M4*60</f>
        <v>27.447590116455221</v>
      </c>
      <c r="O4" s="82" t="s">
        <v>219</v>
      </c>
    </row>
    <row r="5" spans="1:15" ht="12.75" customHeight="1">
      <c r="A5" s="159" t="s">
        <v>28</v>
      </c>
      <c r="B5" s="159"/>
      <c r="C5" s="159"/>
      <c r="D5" s="159"/>
      <c r="E5" s="159"/>
      <c r="F5" s="159"/>
      <c r="G5" s="159"/>
      <c r="H5" s="159"/>
      <c r="I5" s="159"/>
      <c r="J5" s="159"/>
      <c r="L5" s="127" t="s">
        <v>157</v>
      </c>
    </row>
    <row r="6" spans="1:15" ht="20.2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N6" s="72">
        <v>12</v>
      </c>
      <c r="O6" s="82" t="s">
        <v>67</v>
      </c>
    </row>
    <row r="7" spans="1:15" ht="27" customHeight="1">
      <c r="A7" s="159"/>
      <c r="B7" s="159"/>
      <c r="C7" s="159"/>
      <c r="D7" s="159"/>
      <c r="E7" s="159"/>
      <c r="F7" s="159"/>
      <c r="G7" s="159"/>
      <c r="H7" s="159"/>
      <c r="I7" s="159"/>
      <c r="J7" s="159"/>
    </row>
    <row r="8" spans="1:15" ht="18" customHeight="1">
      <c r="B8" s="120" t="s">
        <v>208</v>
      </c>
    </row>
    <row r="9" spans="1:15" ht="13.5" customHeight="1">
      <c r="A9" s="173" t="s">
        <v>1</v>
      </c>
      <c r="B9" s="174" t="s">
        <v>29</v>
      </c>
      <c r="C9" s="174" t="s">
        <v>2</v>
      </c>
      <c r="D9" s="175" t="s">
        <v>3</v>
      </c>
      <c r="E9" s="178" t="s">
        <v>7</v>
      </c>
      <c r="F9" s="179"/>
      <c r="G9" s="180"/>
      <c r="H9" s="178" t="s">
        <v>19</v>
      </c>
      <c r="I9" s="179"/>
      <c r="J9" s="180"/>
    </row>
    <row r="10" spans="1:15" ht="15.75" customHeight="1">
      <c r="A10" s="173"/>
      <c r="B10" s="174"/>
      <c r="C10" s="174"/>
      <c r="D10" s="176"/>
      <c r="E10" s="181"/>
      <c r="F10" s="182"/>
      <c r="G10" s="183"/>
      <c r="H10" s="181"/>
      <c r="I10" s="182"/>
      <c r="J10" s="183"/>
    </row>
    <row r="11" spans="1:15" ht="35.25" customHeight="1">
      <c r="A11" s="173"/>
      <c r="B11" s="174"/>
      <c r="C11" s="174"/>
      <c r="D11" s="177"/>
      <c r="E11" s="20" t="s">
        <v>4</v>
      </c>
      <c r="F11" s="20" t="s">
        <v>5</v>
      </c>
      <c r="G11" s="117" t="s">
        <v>14</v>
      </c>
      <c r="H11" s="117" t="s">
        <v>15</v>
      </c>
      <c r="I11" s="117" t="s">
        <v>16</v>
      </c>
      <c r="J11" s="117" t="s">
        <v>17</v>
      </c>
      <c r="K11" s="109" t="s">
        <v>108</v>
      </c>
      <c r="L11" s="109"/>
      <c r="M11" s="129" t="s">
        <v>158</v>
      </c>
      <c r="N11" s="130" t="s">
        <v>159</v>
      </c>
    </row>
    <row r="12" spans="1:15" ht="13.5" thickBot="1">
      <c r="A12" s="22" t="s">
        <v>0</v>
      </c>
      <c r="B12" s="22">
        <v>2</v>
      </c>
      <c r="C12" s="23">
        <v>3</v>
      </c>
      <c r="D12" s="24">
        <v>4</v>
      </c>
      <c r="E12" s="24">
        <v>6</v>
      </c>
      <c r="F12" s="24">
        <v>7</v>
      </c>
      <c r="G12" s="24">
        <v>8</v>
      </c>
      <c r="H12" s="24">
        <v>9</v>
      </c>
      <c r="I12" s="24">
        <v>10</v>
      </c>
      <c r="J12" s="24">
        <v>11</v>
      </c>
    </row>
    <row r="13" spans="1:15" ht="16.5" thickBot="1">
      <c r="A13" s="30">
        <v>1</v>
      </c>
      <c r="B13" s="31" t="s">
        <v>47</v>
      </c>
      <c r="C13" s="32"/>
      <c r="D13" s="33"/>
      <c r="E13" s="17"/>
      <c r="F13" s="18"/>
      <c r="G13" s="18"/>
      <c r="H13" s="18"/>
      <c r="I13" s="18"/>
      <c r="J13" s="19"/>
    </row>
    <row r="14" spans="1:15" hidden="1">
      <c r="A14" s="27" t="s">
        <v>20</v>
      </c>
      <c r="B14" s="28"/>
      <c r="C14" s="29"/>
      <c r="D14" s="42"/>
      <c r="E14" s="42"/>
      <c r="F14" s="42"/>
      <c r="G14" s="42"/>
      <c r="H14" s="42"/>
      <c r="I14" s="42"/>
      <c r="J14" s="42"/>
      <c r="K14" s="67">
        <f>I14/18</f>
        <v>0</v>
      </c>
      <c r="L14" s="67">
        <f>H14/18</f>
        <v>0</v>
      </c>
      <c r="M14" s="67">
        <v>4.43</v>
      </c>
      <c r="N14" s="67">
        <f>M14*D14</f>
        <v>0</v>
      </c>
    </row>
    <row r="15" spans="1:15" hidden="1">
      <c r="A15" s="25" t="s">
        <v>21</v>
      </c>
      <c r="B15" s="28"/>
      <c r="C15" s="26"/>
      <c r="D15" s="42"/>
      <c r="E15" s="42"/>
      <c r="F15" s="42"/>
      <c r="G15" s="42"/>
      <c r="H15" s="42"/>
      <c r="I15" s="42"/>
      <c r="J15" s="42"/>
      <c r="K15" s="67">
        <f t="shared" ref="K15:K52" si="0">I15/18</f>
        <v>0</v>
      </c>
      <c r="L15" s="67">
        <f t="shared" ref="L15:L20" si="1">H15/18</f>
        <v>0</v>
      </c>
      <c r="M15" s="67">
        <f>M14</f>
        <v>4.43</v>
      </c>
      <c r="N15" s="67">
        <f t="shared" ref="N15:N19" si="2">M15*D15</f>
        <v>0</v>
      </c>
    </row>
    <row r="16" spans="1:15">
      <c r="A16" s="25" t="s">
        <v>20</v>
      </c>
      <c r="B16" s="28" t="s">
        <v>55</v>
      </c>
      <c r="C16" s="26" t="s">
        <v>30</v>
      </c>
      <c r="D16" s="42">
        <v>16.600000000000001</v>
      </c>
      <c r="E16" s="42">
        <f>Коом.пред.!O16/Коом.пред.!D16</f>
        <v>3511.7850000000003</v>
      </c>
      <c r="F16" s="42">
        <v>1500</v>
      </c>
      <c r="G16" s="42">
        <f t="shared" ref="G16:G20" si="3">E16+F16</f>
        <v>5011.7849999999999</v>
      </c>
      <c r="H16" s="42">
        <f>E16*D16</f>
        <v>58295.631000000008</v>
      </c>
      <c r="I16" s="42">
        <f t="shared" ref="I16" si="4">F16*D16</f>
        <v>24900.000000000004</v>
      </c>
      <c r="J16" s="42">
        <f t="shared" ref="J16" si="5">H16+I16</f>
        <v>83195.631000000008</v>
      </c>
      <c r="K16" s="67">
        <f t="shared" si="0"/>
        <v>1383.3333333333335</v>
      </c>
      <c r="L16" s="67">
        <f>H16/18</f>
        <v>3238.6461666666673</v>
      </c>
      <c r="M16" s="67">
        <v>5.4</v>
      </c>
      <c r="N16" s="67">
        <f>M16*D16</f>
        <v>89.640000000000015</v>
      </c>
    </row>
    <row r="17" spans="1:14">
      <c r="A17" s="25" t="s">
        <v>21</v>
      </c>
      <c r="B17" s="28" t="s">
        <v>209</v>
      </c>
      <c r="C17" s="26" t="s">
        <v>30</v>
      </c>
      <c r="D17" s="42">
        <f>2232.15+336.67</f>
        <v>2568.8200000000002</v>
      </c>
      <c r="E17" s="42">
        <f>Коом.пред.!O17/Коом.пред.!D17</f>
        <v>3501.2073</v>
      </c>
      <c r="F17" s="42">
        <v>1500</v>
      </c>
      <c r="G17" s="42">
        <f t="shared" ref="G17:G19" si="6">E17+F17</f>
        <v>5001.2073</v>
      </c>
      <c r="H17" s="42">
        <f>E17*D17</f>
        <v>8993971.3363860007</v>
      </c>
      <c r="I17" s="42">
        <f>F17*D17</f>
        <v>3853230.0000000005</v>
      </c>
      <c r="J17" s="42">
        <f t="shared" ref="J17:J19" si="7">H17+I17</f>
        <v>12847201.336386001</v>
      </c>
      <c r="K17" s="67">
        <f>I17/18</f>
        <v>214068.33333333337</v>
      </c>
      <c r="L17" s="67">
        <f t="shared" si="1"/>
        <v>499665.07424366672</v>
      </c>
      <c r="M17" s="67">
        <v>5.4</v>
      </c>
      <c r="N17" s="67">
        <f t="shared" si="2"/>
        <v>13871.628000000002</v>
      </c>
    </row>
    <row r="18" spans="1:14" ht="25.5">
      <c r="A18" s="25" t="s">
        <v>22</v>
      </c>
      <c r="B18" s="28" t="s">
        <v>243</v>
      </c>
      <c r="C18" s="60" t="s">
        <v>30</v>
      </c>
      <c r="D18" s="42">
        <f>Объёмы!D326*0.18</f>
        <v>1088.807489999999</v>
      </c>
      <c r="E18" s="42">
        <f>Коом.пред.!O18/Коом.пред.!D18</f>
        <v>7235.9058624771278</v>
      </c>
      <c r="F18" s="42">
        <v>800</v>
      </c>
      <c r="G18" s="42">
        <f t="shared" si="6"/>
        <v>8035.9058624771278</v>
      </c>
      <c r="H18" s="42">
        <f t="shared" ref="H18:H19" si="8">E18*D18</f>
        <v>7878508.4999999991</v>
      </c>
      <c r="I18" s="42">
        <f t="shared" ref="I18:I19" si="9">F18*D18</f>
        <v>871045.99199999915</v>
      </c>
      <c r="J18" s="42">
        <f t="shared" si="7"/>
        <v>8749554.4919999987</v>
      </c>
      <c r="K18" s="67">
        <f t="shared" ref="K18:K19" si="10">I18/18</f>
        <v>48391.443999999952</v>
      </c>
      <c r="L18" s="67">
        <f t="shared" si="1"/>
        <v>437694.91666666663</v>
      </c>
      <c r="M18" s="67">
        <v>5.4</v>
      </c>
      <c r="N18" s="67">
        <f t="shared" si="2"/>
        <v>5879.560445999995</v>
      </c>
    </row>
    <row r="19" spans="1:14">
      <c r="A19" s="25" t="s">
        <v>23</v>
      </c>
      <c r="B19" s="28" t="s">
        <v>244</v>
      </c>
      <c r="C19" s="26" t="s">
        <v>34</v>
      </c>
      <c r="D19" s="42">
        <f>Объёмы!D326</f>
        <v>6048.9304999999949</v>
      </c>
      <c r="E19" s="42">
        <f>Коом.пред.!O19/Коом.пред.!D19</f>
        <v>1028.2649999999999</v>
      </c>
      <c r="F19" s="42">
        <v>895</v>
      </c>
      <c r="G19" s="42">
        <f t="shared" si="6"/>
        <v>1923.2649999999999</v>
      </c>
      <c r="H19" s="42">
        <f t="shared" si="8"/>
        <v>6219903.5205824943</v>
      </c>
      <c r="I19" s="42">
        <f t="shared" si="9"/>
        <v>5413792.7974999957</v>
      </c>
      <c r="J19" s="42">
        <f t="shared" si="7"/>
        <v>11633696.318082489</v>
      </c>
      <c r="K19" s="67">
        <f t="shared" si="10"/>
        <v>300766.26652777754</v>
      </c>
      <c r="L19" s="67">
        <f t="shared" si="1"/>
        <v>345550.19558791636</v>
      </c>
      <c r="M19" s="67">
        <v>5.4</v>
      </c>
      <c r="N19" s="67">
        <f t="shared" si="2"/>
        <v>32664.224699999973</v>
      </c>
    </row>
    <row r="20" spans="1:14" ht="26.25" thickBot="1">
      <c r="A20" s="25" t="s">
        <v>44</v>
      </c>
      <c r="B20" s="118" t="s">
        <v>210</v>
      </c>
      <c r="C20" s="60" t="s">
        <v>30</v>
      </c>
      <c r="D20" s="88">
        <f>((D14/0.4/2.7)*0.4+(D15/0.2/2.7)*0.2+(D16/0.38/2.7)*0.38+(D17/2.7)*0.12)*0.03</f>
        <v>3.6095377777777773</v>
      </c>
      <c r="E20" s="42">
        <f>Коом.пред.!O20/Коом.пред.!D20</f>
        <v>5299.9999999999991</v>
      </c>
      <c r="F20" s="88">
        <v>4500</v>
      </c>
      <c r="G20" s="88">
        <f t="shared" si="3"/>
        <v>9800</v>
      </c>
      <c r="H20" s="42">
        <f t="shared" ref="H20" si="11">E20*D20</f>
        <v>19130.550222222217</v>
      </c>
      <c r="I20" s="42">
        <f>F20*D20</f>
        <v>16242.919999999998</v>
      </c>
      <c r="J20" s="42">
        <f>H20+I20</f>
        <v>35373.470222222211</v>
      </c>
      <c r="K20" s="67">
        <f t="shared" si="0"/>
        <v>902.3844444444444</v>
      </c>
      <c r="L20">
        <f t="shared" si="1"/>
        <v>1062.8083456790121</v>
      </c>
      <c r="M20">
        <f>1500/120</f>
        <v>12.5</v>
      </c>
      <c r="N20" s="67">
        <f>M20*D20</f>
        <v>45.119222222222213</v>
      </c>
    </row>
    <row r="21" spans="1:14" ht="16.5" thickBot="1">
      <c r="A21" s="157" t="s">
        <v>24</v>
      </c>
      <c r="B21" s="158"/>
      <c r="C21" s="39"/>
      <c r="D21" s="55"/>
      <c r="E21" s="46"/>
      <c r="F21" s="43"/>
      <c r="G21" s="43"/>
      <c r="H21" s="49">
        <f>H16+H17+H18+H19+H20</f>
        <v>23169809.538190715</v>
      </c>
      <c r="I21" s="49">
        <f>I16+I17+I18+I19+I20</f>
        <v>10179211.709499994</v>
      </c>
      <c r="J21" s="49">
        <f>J16+J17+J18+J19+J20</f>
        <v>33349021.247690711</v>
      </c>
      <c r="K21" s="67"/>
      <c r="L21" s="67"/>
      <c r="M21" s="67"/>
    </row>
    <row r="22" spans="1:14" ht="16.5" thickBot="1">
      <c r="A22" s="30" t="s">
        <v>21</v>
      </c>
      <c r="B22" s="31" t="s">
        <v>48</v>
      </c>
      <c r="C22" s="32"/>
      <c r="D22" s="56"/>
      <c r="E22" s="47"/>
      <c r="F22" s="44"/>
      <c r="G22" s="44"/>
      <c r="H22" s="44"/>
      <c r="I22" s="44"/>
      <c r="J22" s="45"/>
      <c r="K22" s="67">
        <f t="shared" si="0"/>
        <v>0</v>
      </c>
      <c r="L22" s="67">
        <f t="shared" ref="L22:L52" si="12">H22/18</f>
        <v>0</v>
      </c>
      <c r="M22" s="67"/>
    </row>
    <row r="23" spans="1:14">
      <c r="A23" s="27" t="s">
        <v>20</v>
      </c>
      <c r="B23" s="28" t="s">
        <v>36</v>
      </c>
      <c r="C23" s="60" t="s">
        <v>34</v>
      </c>
      <c r="D23" s="42">
        <f>(346.06+2494.05)/0.12</f>
        <v>23667.583333333336</v>
      </c>
      <c r="E23" s="42">
        <f>Коом.пред.!O23/Коом.пред.!D23</f>
        <v>415.66500000000002</v>
      </c>
      <c r="F23" s="42">
        <v>400</v>
      </c>
      <c r="G23" s="42">
        <f t="shared" ref="G23:G30" si="13">E23+F23</f>
        <v>815.66499999999996</v>
      </c>
      <c r="H23" s="42">
        <f t="shared" ref="H23:H30" si="14">E23*D23</f>
        <v>9837786.026250001</v>
      </c>
      <c r="I23" s="42">
        <f t="shared" ref="I23:I30" si="15">F23*D23</f>
        <v>9467033.333333334</v>
      </c>
      <c r="J23" s="42">
        <f t="shared" ref="J23:J29" si="16">H23+I23</f>
        <v>19304819.359583333</v>
      </c>
      <c r="K23" s="67">
        <f t="shared" si="0"/>
        <v>525946.29629629629</v>
      </c>
      <c r="L23" s="67">
        <f t="shared" si="12"/>
        <v>546543.66812500008</v>
      </c>
      <c r="M23" s="67">
        <v>1.7</v>
      </c>
      <c r="N23" s="67">
        <f t="shared" ref="N23:N29" si="17">M23*D23</f>
        <v>40234.89166666667</v>
      </c>
    </row>
    <row r="24" spans="1:14" hidden="1">
      <c r="A24" s="25" t="s">
        <v>21</v>
      </c>
      <c r="B24" s="34"/>
      <c r="C24" s="60" t="s">
        <v>30</v>
      </c>
      <c r="D24" s="42">
        <v>0</v>
      </c>
      <c r="E24" s="42">
        <f>Коом.пред.!E24</f>
        <v>0</v>
      </c>
      <c r="F24" s="42">
        <v>800</v>
      </c>
      <c r="G24" s="42">
        <f t="shared" si="13"/>
        <v>800</v>
      </c>
      <c r="H24" s="42">
        <f t="shared" si="14"/>
        <v>0</v>
      </c>
      <c r="I24" s="42">
        <f t="shared" si="15"/>
        <v>0</v>
      </c>
      <c r="J24" s="42">
        <f t="shared" si="16"/>
        <v>0</v>
      </c>
      <c r="K24" s="67">
        <f t="shared" si="0"/>
        <v>0</v>
      </c>
      <c r="L24" s="67">
        <f t="shared" si="12"/>
        <v>0</v>
      </c>
      <c r="M24" s="67">
        <f>M15</f>
        <v>4.43</v>
      </c>
      <c r="N24" s="67">
        <f t="shared" si="17"/>
        <v>0</v>
      </c>
    </row>
    <row r="25" spans="1:14" hidden="1">
      <c r="A25" s="27" t="s">
        <v>22</v>
      </c>
      <c r="B25" s="54"/>
      <c r="C25" s="59" t="s">
        <v>34</v>
      </c>
      <c r="D25" s="42">
        <v>0</v>
      </c>
      <c r="E25" s="42">
        <f>Коом.пред.!E25</f>
        <v>0</v>
      </c>
      <c r="F25" s="42">
        <v>250</v>
      </c>
      <c r="G25" s="42">
        <f t="shared" si="13"/>
        <v>250</v>
      </c>
      <c r="H25" s="42">
        <f t="shared" si="14"/>
        <v>0</v>
      </c>
      <c r="I25" s="42">
        <f t="shared" si="15"/>
        <v>0</v>
      </c>
      <c r="J25" s="42">
        <f t="shared" si="16"/>
        <v>0</v>
      </c>
      <c r="K25" s="67">
        <f t="shared" si="0"/>
        <v>0</v>
      </c>
      <c r="L25" s="67">
        <f t="shared" si="12"/>
        <v>0</v>
      </c>
      <c r="M25" s="67">
        <v>1.82</v>
      </c>
      <c r="N25" s="67">
        <f t="shared" si="17"/>
        <v>0</v>
      </c>
    </row>
    <row r="26" spans="1:14" hidden="1">
      <c r="A26" s="27"/>
      <c r="B26" s="54"/>
      <c r="C26" s="59" t="s">
        <v>34</v>
      </c>
      <c r="D26" s="42">
        <v>0</v>
      </c>
      <c r="E26" s="42">
        <f>Коом.пред.!E27</f>
        <v>0</v>
      </c>
      <c r="F26" s="42">
        <v>400</v>
      </c>
      <c r="G26" s="42">
        <f>E26+F26</f>
        <v>400</v>
      </c>
      <c r="H26" s="42">
        <f t="shared" si="14"/>
        <v>0</v>
      </c>
      <c r="I26" s="42">
        <f t="shared" si="15"/>
        <v>0</v>
      </c>
      <c r="J26" s="42">
        <f>H26+I26</f>
        <v>0</v>
      </c>
      <c r="K26" s="67">
        <f>I26/18</f>
        <v>0</v>
      </c>
      <c r="L26" s="67">
        <f>H26/18</f>
        <v>0</v>
      </c>
      <c r="M26" s="67">
        <v>2</v>
      </c>
      <c r="N26" s="67">
        <f>M26*D26</f>
        <v>0</v>
      </c>
    </row>
    <row r="27" spans="1:14" ht="25.5">
      <c r="A27" s="25" t="s">
        <v>21</v>
      </c>
      <c r="B27" s="54" t="s">
        <v>211</v>
      </c>
      <c r="C27" s="59" t="s">
        <v>34</v>
      </c>
      <c r="D27" s="42">
        <v>32800</v>
      </c>
      <c r="E27" s="42">
        <f>Коом.пред.!O26/Коом.пред.!D26</f>
        <v>1027.9708695652173</v>
      </c>
      <c r="F27" s="42">
        <v>300</v>
      </c>
      <c r="G27" s="42">
        <f t="shared" si="13"/>
        <v>1327.9708695652173</v>
      </c>
      <c r="H27" s="42">
        <f t="shared" si="14"/>
        <v>33717444.521739125</v>
      </c>
      <c r="I27" s="42">
        <f t="shared" si="15"/>
        <v>9840000</v>
      </c>
      <c r="J27" s="42">
        <f t="shared" si="16"/>
        <v>43557444.521739125</v>
      </c>
      <c r="K27" s="67">
        <f t="shared" si="0"/>
        <v>546666.66666666663</v>
      </c>
      <c r="L27" s="67">
        <f t="shared" si="12"/>
        <v>1873191.3623188403</v>
      </c>
      <c r="M27" s="67">
        <v>1</v>
      </c>
      <c r="N27" s="67">
        <f t="shared" si="17"/>
        <v>32800</v>
      </c>
    </row>
    <row r="28" spans="1:14" hidden="1">
      <c r="A28" s="25" t="s">
        <v>45</v>
      </c>
      <c r="B28" s="54"/>
      <c r="C28" s="59" t="s">
        <v>30</v>
      </c>
      <c r="D28" s="42">
        <v>0</v>
      </c>
      <c r="E28" s="42">
        <f>Коом.пред.!E28</f>
        <v>0</v>
      </c>
      <c r="F28" s="42">
        <v>1500</v>
      </c>
      <c r="G28" s="42">
        <f t="shared" si="13"/>
        <v>1500</v>
      </c>
      <c r="H28" s="42">
        <f t="shared" si="14"/>
        <v>0</v>
      </c>
      <c r="I28" s="42">
        <f t="shared" si="15"/>
        <v>0</v>
      </c>
      <c r="J28" s="42">
        <f t="shared" si="16"/>
        <v>0</v>
      </c>
      <c r="K28" s="67">
        <f t="shared" si="0"/>
        <v>0</v>
      </c>
      <c r="L28" s="67">
        <f t="shared" si="12"/>
        <v>0</v>
      </c>
      <c r="M28" s="67">
        <f>M16</f>
        <v>5.4</v>
      </c>
      <c r="N28" s="67">
        <f t="shared" si="17"/>
        <v>0</v>
      </c>
    </row>
    <row r="29" spans="1:14" ht="38.25">
      <c r="A29" s="27" t="s">
        <v>22</v>
      </c>
      <c r="B29" s="54" t="s">
        <v>227</v>
      </c>
      <c r="C29" s="59" t="s">
        <v>30</v>
      </c>
      <c r="D29" s="42">
        <v>287</v>
      </c>
      <c r="E29" s="42">
        <f>Коом.пред.!O29/Коом.пред.!D29</f>
        <v>4750</v>
      </c>
      <c r="F29" s="42">
        <v>1800</v>
      </c>
      <c r="G29" s="42">
        <f t="shared" si="13"/>
        <v>6550</v>
      </c>
      <c r="H29" s="42">
        <f t="shared" si="14"/>
        <v>1363250</v>
      </c>
      <c r="I29" s="42">
        <f t="shared" si="15"/>
        <v>516600</v>
      </c>
      <c r="J29" s="42">
        <f t="shared" si="16"/>
        <v>1879850</v>
      </c>
      <c r="K29" s="67">
        <f t="shared" si="0"/>
        <v>28700</v>
      </c>
      <c r="L29" s="67">
        <f t="shared" si="12"/>
        <v>75736.111111111109</v>
      </c>
      <c r="M29" s="67">
        <v>10.58</v>
      </c>
      <c r="N29" s="67">
        <f t="shared" si="17"/>
        <v>3036.46</v>
      </c>
    </row>
    <row r="30" spans="1:14" ht="25.5">
      <c r="A30" s="25" t="s">
        <v>23</v>
      </c>
      <c r="B30" s="118" t="s">
        <v>126</v>
      </c>
      <c r="C30" s="60" t="s">
        <v>30</v>
      </c>
      <c r="D30" s="88">
        <f>((D23/2.7)*0.12+(D27/2.7)*0.1)*0.03</f>
        <v>68.001222222222211</v>
      </c>
      <c r="E30" s="42">
        <f>Коом.пред.!O30/Коом.пред.!D30</f>
        <v>5299.9999999999991</v>
      </c>
      <c r="F30" s="88">
        <f>F20</f>
        <v>4500</v>
      </c>
      <c r="G30" s="88">
        <f t="shared" si="13"/>
        <v>9800</v>
      </c>
      <c r="H30" s="42">
        <f t="shared" si="14"/>
        <v>360406.47777777765</v>
      </c>
      <c r="I30" s="42">
        <f t="shared" si="15"/>
        <v>306005.49999999994</v>
      </c>
      <c r="J30" s="88">
        <f>H30+I30</f>
        <v>666411.97777777759</v>
      </c>
      <c r="K30" s="67">
        <f t="shared" si="0"/>
        <v>17000.305555555551</v>
      </c>
      <c r="L30">
        <f t="shared" si="12"/>
        <v>20022.582098765426</v>
      </c>
      <c r="M30">
        <f>M20</f>
        <v>12.5</v>
      </c>
      <c r="N30" s="67">
        <f>M30*D30</f>
        <v>850.01527777777767</v>
      </c>
    </row>
    <row r="31" spans="1:14" ht="16.5" thickBot="1">
      <c r="A31" s="151" t="s">
        <v>25</v>
      </c>
      <c r="B31" s="152"/>
      <c r="C31" s="50"/>
      <c r="D31" s="57"/>
      <c r="E31" s="51"/>
      <c r="F31" s="52"/>
      <c r="G31" s="42"/>
      <c r="H31" s="53">
        <f>SUM(H23:H30)</f>
        <v>45278887.025766909</v>
      </c>
      <c r="I31" s="53">
        <f>SUM(I23:I30)</f>
        <v>20129638.833333336</v>
      </c>
      <c r="J31" s="53">
        <f>SUM(J23:J30)</f>
        <v>65408525.859100237</v>
      </c>
      <c r="K31" s="67"/>
      <c r="L31" s="67"/>
      <c r="M31" s="67"/>
    </row>
    <row r="32" spans="1:14" ht="16.5" hidden="1" thickBot="1">
      <c r="A32" s="30" t="s">
        <v>22</v>
      </c>
      <c r="B32" s="31" t="s">
        <v>49</v>
      </c>
      <c r="C32" s="32"/>
      <c r="D32" s="56"/>
      <c r="E32" s="47"/>
      <c r="F32" s="44"/>
      <c r="G32" s="44"/>
      <c r="H32" s="44"/>
      <c r="I32" s="44"/>
      <c r="J32" s="45"/>
      <c r="K32" s="67">
        <f t="shared" si="0"/>
        <v>0</v>
      </c>
      <c r="L32" s="67">
        <f t="shared" si="12"/>
        <v>0</v>
      </c>
      <c r="M32" s="67"/>
    </row>
    <row r="33" spans="1:14" ht="13.5" hidden="1" thickBot="1">
      <c r="A33" s="27" t="s">
        <v>20</v>
      </c>
      <c r="B33" s="28" t="s">
        <v>64</v>
      </c>
      <c r="C33" s="29" t="s">
        <v>30</v>
      </c>
      <c r="D33" s="58">
        <v>0</v>
      </c>
      <c r="E33" s="42">
        <f>Коом.пред.!E33</f>
        <v>0</v>
      </c>
      <c r="F33" s="42">
        <v>1500</v>
      </c>
      <c r="G33" s="42">
        <f t="shared" ref="G33" si="18">E33+F33</f>
        <v>1500</v>
      </c>
      <c r="H33" s="42">
        <v>395623.32</v>
      </c>
      <c r="I33" s="42">
        <f>F33*D33</f>
        <v>0</v>
      </c>
      <c r="J33" s="42">
        <f t="shared" ref="J33" si="19">H33+I33</f>
        <v>395623.32</v>
      </c>
      <c r="K33" s="67">
        <f t="shared" si="0"/>
        <v>0</v>
      </c>
      <c r="L33" s="67">
        <f>H33/18</f>
        <v>21979.073333333334</v>
      </c>
      <c r="M33" s="67">
        <f>M28</f>
        <v>5.4</v>
      </c>
      <c r="N33" s="67">
        <f>M33*D33</f>
        <v>0</v>
      </c>
    </row>
    <row r="34" spans="1:14" ht="16.5" hidden="1" thickBot="1">
      <c r="A34" s="153" t="s">
        <v>26</v>
      </c>
      <c r="B34" s="154"/>
      <c r="C34" s="39"/>
      <c r="D34" s="55"/>
      <c r="E34" s="46"/>
      <c r="F34" s="43"/>
      <c r="G34" s="43"/>
      <c r="H34" s="49">
        <f>H33</f>
        <v>395623.32</v>
      </c>
      <c r="I34" s="49">
        <f t="shared" ref="I34" si="20">I33</f>
        <v>0</v>
      </c>
      <c r="J34" s="49">
        <f>J33</f>
        <v>395623.32</v>
      </c>
      <c r="K34" s="67"/>
      <c r="L34" s="67"/>
      <c r="M34" s="67"/>
    </row>
    <row r="35" spans="1:14" ht="16.5" hidden="1" thickBot="1">
      <c r="A35" s="30" t="s">
        <v>23</v>
      </c>
      <c r="B35" s="31" t="s">
        <v>50</v>
      </c>
      <c r="C35" s="32"/>
      <c r="D35" s="56"/>
      <c r="E35" s="47"/>
      <c r="F35" s="44"/>
      <c r="G35" s="44"/>
      <c r="H35" s="44"/>
      <c r="I35" s="44"/>
      <c r="J35" s="45"/>
      <c r="K35" s="67">
        <f t="shared" si="0"/>
        <v>0</v>
      </c>
      <c r="L35" s="67">
        <f t="shared" si="12"/>
        <v>0</v>
      </c>
      <c r="M35" s="67"/>
    </row>
    <row r="36" spans="1:14" hidden="1">
      <c r="A36" s="27" t="s">
        <v>20</v>
      </c>
      <c r="B36" s="28" t="s">
        <v>65</v>
      </c>
      <c r="C36" s="29" t="s">
        <v>34</v>
      </c>
      <c r="D36" s="58">
        <v>0</v>
      </c>
      <c r="E36" s="42">
        <f>Коом.пред.!E36</f>
        <v>0</v>
      </c>
      <c r="F36" s="42">
        <v>1500</v>
      </c>
      <c r="G36" s="42">
        <f>E36+F36</f>
        <v>1500</v>
      </c>
      <c r="H36" s="42">
        <v>1307336.1599999999</v>
      </c>
      <c r="I36" s="42">
        <f>F36*D36</f>
        <v>0</v>
      </c>
      <c r="J36" s="42">
        <f t="shared" ref="J36" si="21">H36+I36</f>
        <v>1307336.1599999999</v>
      </c>
      <c r="K36" s="67">
        <f t="shared" si="0"/>
        <v>0</v>
      </c>
      <c r="L36" s="67">
        <f t="shared" si="12"/>
        <v>72629.786666666667</v>
      </c>
      <c r="M36" s="67">
        <f>M23</f>
        <v>1.7</v>
      </c>
      <c r="N36" s="67">
        <f>M36*D36</f>
        <v>0</v>
      </c>
    </row>
    <row r="37" spans="1:14" ht="26.25" hidden="1" thickBot="1">
      <c r="A37" s="25" t="s">
        <v>21</v>
      </c>
      <c r="B37" s="118" t="s">
        <v>126</v>
      </c>
      <c r="C37" s="60" t="s">
        <v>30</v>
      </c>
      <c r="D37" s="88">
        <f>(D36/2.7)*0.12*0.02</f>
        <v>0</v>
      </c>
      <c r="E37" s="42">
        <f>Коом.пред.!E37</f>
        <v>0</v>
      </c>
      <c r="F37" s="88">
        <v>0</v>
      </c>
      <c r="G37" s="88">
        <f t="shared" ref="G37" si="22">E37+F37</f>
        <v>0</v>
      </c>
      <c r="H37" s="42">
        <f>E37*D37</f>
        <v>0</v>
      </c>
      <c r="I37" s="42">
        <f>F37*D37</f>
        <v>0</v>
      </c>
      <c r="J37" s="88">
        <f>H37+I37</f>
        <v>0</v>
      </c>
      <c r="K37" s="67">
        <f t="shared" si="0"/>
        <v>0</v>
      </c>
      <c r="L37">
        <f t="shared" si="12"/>
        <v>0</v>
      </c>
      <c r="M37">
        <f>M30</f>
        <v>12.5</v>
      </c>
      <c r="N37" s="67">
        <f>M37*D37</f>
        <v>0</v>
      </c>
    </row>
    <row r="38" spans="1:14" ht="16.5" hidden="1" thickBot="1">
      <c r="A38" s="153" t="s">
        <v>52</v>
      </c>
      <c r="B38" s="154"/>
      <c r="C38" s="39"/>
      <c r="D38" s="55"/>
      <c r="E38" s="46"/>
      <c r="F38" s="43"/>
      <c r="G38" s="43"/>
      <c r="H38" s="49">
        <f>H36+H37</f>
        <v>1307336.1599999999</v>
      </c>
      <c r="I38" s="49">
        <f>I36+I37</f>
        <v>0</v>
      </c>
      <c r="J38" s="49">
        <f>J36</f>
        <v>1307336.1599999999</v>
      </c>
      <c r="K38" s="67"/>
      <c r="L38" s="67"/>
      <c r="M38" s="67"/>
    </row>
    <row r="39" spans="1:14" ht="16.5" hidden="1" thickBot="1">
      <c r="A39" s="30" t="s">
        <v>44</v>
      </c>
      <c r="B39" s="31" t="s">
        <v>53</v>
      </c>
      <c r="C39" s="32"/>
      <c r="D39" s="56"/>
      <c r="E39" s="47"/>
      <c r="F39" s="44"/>
      <c r="G39" s="44"/>
      <c r="H39" s="44"/>
      <c r="I39" s="44"/>
      <c r="J39" s="45"/>
      <c r="K39" s="67">
        <f t="shared" si="0"/>
        <v>0</v>
      </c>
      <c r="L39" s="67">
        <f t="shared" si="12"/>
        <v>0</v>
      </c>
      <c r="M39" s="67"/>
    </row>
    <row r="40" spans="1:14" hidden="1">
      <c r="A40" s="27" t="s">
        <v>20</v>
      </c>
      <c r="B40" s="28" t="s">
        <v>36</v>
      </c>
      <c r="C40" s="60" t="s">
        <v>34</v>
      </c>
      <c r="D40" s="42">
        <v>0</v>
      </c>
      <c r="E40" s="42">
        <f>Коом.пред.!E40</f>
        <v>0</v>
      </c>
      <c r="F40" s="42">
        <v>400</v>
      </c>
      <c r="G40" s="42">
        <f t="shared" ref="G40:G47" si="23">E40+F40</f>
        <v>400</v>
      </c>
      <c r="H40" s="42">
        <v>515540.82</v>
      </c>
      <c r="I40" s="42">
        <f t="shared" ref="I40:I46" si="24">F40*D40</f>
        <v>0</v>
      </c>
      <c r="J40" s="42">
        <f t="shared" ref="J40:J46" si="25">H40+I40</f>
        <v>515540.82</v>
      </c>
      <c r="K40" s="67">
        <f t="shared" si="0"/>
        <v>0</v>
      </c>
      <c r="L40" s="67">
        <f t="shared" si="12"/>
        <v>28641.156666666666</v>
      </c>
      <c r="M40" s="67">
        <f>M23</f>
        <v>1.7</v>
      </c>
      <c r="N40" s="67">
        <f t="shared" ref="N40:N47" si="26">M40*D40</f>
        <v>0</v>
      </c>
    </row>
    <row r="41" spans="1:14" ht="25.5" hidden="1">
      <c r="A41" s="25" t="s">
        <v>21</v>
      </c>
      <c r="B41" s="28" t="s">
        <v>38</v>
      </c>
      <c r="C41" s="60" t="s">
        <v>30</v>
      </c>
      <c r="D41" s="42">
        <v>0</v>
      </c>
      <c r="E41" s="42">
        <f>Коом.пред.!E41</f>
        <v>0</v>
      </c>
      <c r="F41" s="42">
        <v>800</v>
      </c>
      <c r="G41" s="42">
        <f t="shared" si="23"/>
        <v>800</v>
      </c>
      <c r="H41" s="42">
        <v>85524.04</v>
      </c>
      <c r="I41" s="42">
        <f t="shared" si="24"/>
        <v>0</v>
      </c>
      <c r="J41" s="42">
        <f t="shared" si="25"/>
        <v>85524.04</v>
      </c>
      <c r="K41" s="67">
        <f t="shared" si="0"/>
        <v>0</v>
      </c>
      <c r="L41" s="67">
        <f t="shared" si="12"/>
        <v>4751.3355555555554</v>
      </c>
      <c r="M41" s="67">
        <f>M24</f>
        <v>4.43</v>
      </c>
      <c r="N41" s="67">
        <f t="shared" si="26"/>
        <v>0</v>
      </c>
    </row>
    <row r="42" spans="1:14" hidden="1">
      <c r="A42" s="27" t="s">
        <v>22</v>
      </c>
      <c r="B42" s="28" t="s">
        <v>54</v>
      </c>
      <c r="C42" s="59" t="s">
        <v>30</v>
      </c>
      <c r="D42" s="42">
        <v>0</v>
      </c>
      <c r="E42" s="42">
        <f>Коом.пред.!E42</f>
        <v>0</v>
      </c>
      <c r="F42" s="42">
        <v>1500</v>
      </c>
      <c r="G42" s="42">
        <f t="shared" si="23"/>
        <v>1500</v>
      </c>
      <c r="H42" s="42">
        <v>214990.1</v>
      </c>
      <c r="I42" s="42">
        <f t="shared" si="24"/>
        <v>0</v>
      </c>
      <c r="J42" s="42">
        <f t="shared" si="25"/>
        <v>214990.1</v>
      </c>
      <c r="K42" s="67">
        <f t="shared" si="0"/>
        <v>0</v>
      </c>
      <c r="L42" s="67">
        <f t="shared" si="12"/>
        <v>11943.894444444444</v>
      </c>
      <c r="M42" s="67">
        <f>M33</f>
        <v>5.4</v>
      </c>
      <c r="N42" s="67">
        <f t="shared" si="26"/>
        <v>0</v>
      </c>
    </row>
    <row r="43" spans="1:14" hidden="1">
      <c r="A43" s="25" t="s">
        <v>23</v>
      </c>
      <c r="B43" s="28" t="s">
        <v>55</v>
      </c>
      <c r="C43" s="59" t="s">
        <v>30</v>
      </c>
      <c r="D43" s="42">
        <v>0</v>
      </c>
      <c r="E43" s="42">
        <f>Коом.пред.!E43</f>
        <v>0</v>
      </c>
      <c r="F43" s="42">
        <v>1500</v>
      </c>
      <c r="G43" s="42">
        <f t="shared" si="23"/>
        <v>1500</v>
      </c>
      <c r="H43" s="42">
        <v>7044.6</v>
      </c>
      <c r="I43" s="42">
        <f t="shared" si="24"/>
        <v>0</v>
      </c>
      <c r="J43" s="42">
        <f t="shared" si="25"/>
        <v>7044.6</v>
      </c>
      <c r="K43" s="67">
        <f t="shared" si="0"/>
        <v>0</v>
      </c>
      <c r="L43" s="67">
        <f t="shared" si="12"/>
        <v>391.36666666666667</v>
      </c>
      <c r="M43" s="67">
        <f>M33</f>
        <v>5.4</v>
      </c>
      <c r="N43" s="67">
        <f t="shared" si="26"/>
        <v>0</v>
      </c>
    </row>
    <row r="44" spans="1:14" ht="25.5" hidden="1">
      <c r="A44" s="27" t="s">
        <v>44</v>
      </c>
      <c r="B44" s="28" t="s">
        <v>66</v>
      </c>
      <c r="C44" s="59" t="s">
        <v>30</v>
      </c>
      <c r="D44" s="42">
        <v>0</v>
      </c>
      <c r="E44" s="42">
        <f>Коом.пред.!E44</f>
        <v>0</v>
      </c>
      <c r="F44" s="42">
        <v>800</v>
      </c>
      <c r="G44" s="42">
        <f t="shared" si="23"/>
        <v>800</v>
      </c>
      <c r="H44" s="42">
        <v>1545807.08</v>
      </c>
      <c r="I44" s="42">
        <f t="shared" si="24"/>
        <v>0</v>
      </c>
      <c r="J44" s="42">
        <f t="shared" si="25"/>
        <v>1545807.08</v>
      </c>
      <c r="K44" s="67">
        <f t="shared" si="0"/>
        <v>0</v>
      </c>
      <c r="L44" s="67">
        <f t="shared" si="12"/>
        <v>85878.171111111122</v>
      </c>
      <c r="M44" s="67">
        <f>M41</f>
        <v>4.43</v>
      </c>
      <c r="N44" s="67">
        <f t="shared" si="26"/>
        <v>0</v>
      </c>
    </row>
    <row r="45" spans="1:14" hidden="1">
      <c r="A45" s="25" t="s">
        <v>45</v>
      </c>
      <c r="B45" s="54" t="s">
        <v>57</v>
      </c>
      <c r="C45" s="59" t="s">
        <v>30</v>
      </c>
      <c r="D45" s="42">
        <v>0</v>
      </c>
      <c r="E45" s="42">
        <f>Коом.пред.!E45</f>
        <v>0</v>
      </c>
      <c r="F45" s="42">
        <v>1500</v>
      </c>
      <c r="G45" s="42">
        <f t="shared" si="23"/>
        <v>1500</v>
      </c>
      <c r="H45" s="42">
        <v>33067.17</v>
      </c>
      <c r="I45" s="42">
        <f t="shared" si="24"/>
        <v>0</v>
      </c>
      <c r="J45" s="42">
        <f t="shared" si="25"/>
        <v>33067.17</v>
      </c>
      <c r="K45" s="67">
        <f t="shared" si="0"/>
        <v>0</v>
      </c>
      <c r="L45" s="67">
        <f t="shared" si="12"/>
        <v>1837.0649999999998</v>
      </c>
      <c r="M45" s="67">
        <f>M43</f>
        <v>5.4</v>
      </c>
      <c r="N45" s="67">
        <f t="shared" si="26"/>
        <v>0</v>
      </c>
    </row>
    <row r="46" spans="1:14" hidden="1">
      <c r="A46" s="27" t="s">
        <v>46</v>
      </c>
      <c r="B46" s="54" t="s">
        <v>56</v>
      </c>
      <c r="C46" s="59" t="s">
        <v>34</v>
      </c>
      <c r="D46" s="42">
        <v>0</v>
      </c>
      <c r="E46" s="42">
        <f>Коом.пред.!E46</f>
        <v>0</v>
      </c>
      <c r="F46" s="42">
        <v>1500</v>
      </c>
      <c r="G46" s="42">
        <f t="shared" si="23"/>
        <v>1500</v>
      </c>
      <c r="H46" s="42">
        <v>30007.4</v>
      </c>
      <c r="I46" s="42">
        <f t="shared" si="24"/>
        <v>0</v>
      </c>
      <c r="J46" s="42">
        <f t="shared" si="25"/>
        <v>30007.4</v>
      </c>
      <c r="K46" s="67">
        <f t="shared" si="0"/>
        <v>0</v>
      </c>
      <c r="L46" s="67">
        <f t="shared" si="12"/>
        <v>1667.0777777777778</v>
      </c>
      <c r="M46" s="67">
        <f>M40</f>
        <v>1.7</v>
      </c>
      <c r="N46" s="67">
        <f t="shared" si="26"/>
        <v>0</v>
      </c>
    </row>
    <row r="47" spans="1:14" ht="25.5" hidden="1">
      <c r="A47" s="25" t="s">
        <v>124</v>
      </c>
      <c r="B47" s="118" t="s">
        <v>126</v>
      </c>
      <c r="C47" s="60" t="s">
        <v>30</v>
      </c>
      <c r="D47" s="88">
        <f>((D40/2.7)*0.12+(D41/0.2/2.7)*0.2+(D42/0.25/2.7)*0.25+(D43/0.38/2.7)*0.38+(D44/0.4/2.7)*0.4+(D45/0.25/2.7)*0.25+(D46/2.7)*0.12)*0.02</f>
        <v>0</v>
      </c>
      <c r="E47" s="42">
        <f>Коом.пред.!E47</f>
        <v>0</v>
      </c>
      <c r="F47" s="88">
        <v>0</v>
      </c>
      <c r="G47" s="88">
        <f t="shared" si="23"/>
        <v>0</v>
      </c>
      <c r="H47" s="42">
        <f>E47*D47</f>
        <v>0</v>
      </c>
      <c r="I47" s="42">
        <f>F47*D47</f>
        <v>0</v>
      </c>
      <c r="J47" s="88">
        <f>H47+I47</f>
        <v>0</v>
      </c>
      <c r="K47" s="67">
        <f t="shared" si="0"/>
        <v>0</v>
      </c>
      <c r="L47">
        <f t="shared" si="12"/>
        <v>0</v>
      </c>
      <c r="M47">
        <f>M37</f>
        <v>12.5</v>
      </c>
      <c r="N47" s="67">
        <f t="shared" si="26"/>
        <v>0</v>
      </c>
    </row>
    <row r="48" spans="1:14" ht="16.5" hidden="1" thickBot="1">
      <c r="A48" s="151" t="s">
        <v>59</v>
      </c>
      <c r="B48" s="152"/>
      <c r="C48" s="50"/>
      <c r="D48" s="57"/>
      <c r="E48" s="51"/>
      <c r="F48" s="52"/>
      <c r="G48" s="42"/>
      <c r="H48" s="53">
        <f t="shared" ref="H48:I48" si="27">SUM(H40:H46)</f>
        <v>2431981.21</v>
      </c>
      <c r="I48" s="53">
        <f t="shared" si="27"/>
        <v>0</v>
      </c>
      <c r="J48" s="53">
        <f>SUM(J40:J46)</f>
        <v>2431981.21</v>
      </c>
      <c r="K48" s="67"/>
      <c r="L48" s="67"/>
      <c r="M48" s="67"/>
    </row>
    <row r="49" spans="1:15" ht="16.5" thickBot="1">
      <c r="A49" s="30" t="s">
        <v>22</v>
      </c>
      <c r="B49" s="31" t="s">
        <v>58</v>
      </c>
      <c r="C49" s="32"/>
      <c r="D49" s="56"/>
      <c r="E49" s="47"/>
      <c r="F49" s="44"/>
      <c r="G49" s="44"/>
      <c r="H49" s="44"/>
      <c r="I49" s="44"/>
      <c r="J49" s="45"/>
      <c r="K49" s="67">
        <f t="shared" si="0"/>
        <v>0</v>
      </c>
      <c r="L49" s="67">
        <f t="shared" si="12"/>
        <v>0</v>
      </c>
      <c r="M49" s="67"/>
    </row>
    <row r="50" spans="1:15">
      <c r="A50" s="27" t="s">
        <v>20</v>
      </c>
      <c r="B50" s="28" t="s">
        <v>214</v>
      </c>
      <c r="C50" s="29" t="s">
        <v>213</v>
      </c>
      <c r="D50" s="58">
        <f>Объёмы!B10</f>
        <v>2764</v>
      </c>
      <c r="E50" s="42">
        <f>Коом.пред.!O50/Коом.пред.!D50</f>
        <v>382.13820549927641</v>
      </c>
      <c r="F50" s="42">
        <v>150</v>
      </c>
      <c r="G50" s="42">
        <f>E50+F50</f>
        <v>532.13820549927641</v>
      </c>
      <c r="H50" s="42">
        <f t="shared" ref="H50:H52" si="28">E50*D50</f>
        <v>1056230</v>
      </c>
      <c r="I50" s="42">
        <f t="shared" ref="I50:I52" si="29">F50*D50</f>
        <v>414600</v>
      </c>
      <c r="J50" s="42">
        <f t="shared" ref="J50:J52" si="30">H50+I50</f>
        <v>1470830</v>
      </c>
      <c r="K50" s="67">
        <f>I50/18</f>
        <v>23033.333333333332</v>
      </c>
      <c r="L50" s="67">
        <f>H50/18</f>
        <v>58679.444444444445</v>
      </c>
      <c r="M50" s="67">
        <f>15/60</f>
        <v>0.25</v>
      </c>
      <c r="N50" s="67">
        <f t="shared" ref="N50:N52" si="31">M50*D50</f>
        <v>691</v>
      </c>
    </row>
    <row r="51" spans="1:15">
      <c r="A51" s="27" t="s">
        <v>21</v>
      </c>
      <c r="B51" s="28" t="s">
        <v>215</v>
      </c>
      <c r="C51" s="29" t="s">
        <v>217</v>
      </c>
      <c r="D51" s="58">
        <f>Объёмы!B11</f>
        <v>21.28</v>
      </c>
      <c r="E51" s="42">
        <f>Коом.пред.!O51/Коом.пред.!D51</f>
        <v>44500</v>
      </c>
      <c r="F51" s="42">
        <v>19500</v>
      </c>
      <c r="G51" s="42">
        <f>E51+F51</f>
        <v>64000</v>
      </c>
      <c r="H51" s="42">
        <f t="shared" si="28"/>
        <v>946960</v>
      </c>
      <c r="I51" s="42">
        <f t="shared" si="29"/>
        <v>414960</v>
      </c>
      <c r="J51" s="42">
        <f t="shared" ref="J51" si="32">H51+I51</f>
        <v>1361920</v>
      </c>
      <c r="K51" s="67">
        <f t="shared" ref="K51" si="33">I51/18</f>
        <v>23053.333333333332</v>
      </c>
      <c r="L51" s="67">
        <f t="shared" ref="L51" si="34">H51/18</f>
        <v>52608.888888888891</v>
      </c>
      <c r="M51" s="67">
        <f>19500/200</f>
        <v>97.5</v>
      </c>
      <c r="N51" s="67">
        <f t="shared" si="31"/>
        <v>2074.8000000000002</v>
      </c>
    </row>
    <row r="52" spans="1:15" ht="13.5" thickBot="1">
      <c r="A52" s="27" t="s">
        <v>21</v>
      </c>
      <c r="B52" s="28" t="s">
        <v>216</v>
      </c>
      <c r="C52" s="29" t="s">
        <v>217</v>
      </c>
      <c r="D52" s="58">
        <f>Объёмы!B12</f>
        <v>6.0572799999999996</v>
      </c>
      <c r="E52" s="42">
        <f>Коом.пред.!O52/Коом.пред.!D52</f>
        <v>57000</v>
      </c>
      <c r="F52" s="42">
        <v>24000</v>
      </c>
      <c r="G52" s="42">
        <f>E52+F52</f>
        <v>81000</v>
      </c>
      <c r="H52" s="42">
        <f t="shared" si="28"/>
        <v>345264.95999999996</v>
      </c>
      <c r="I52" s="42">
        <f t="shared" si="29"/>
        <v>145374.72</v>
      </c>
      <c r="J52" s="42">
        <f t="shared" si="30"/>
        <v>490639.67999999993</v>
      </c>
      <c r="K52" s="67">
        <f t="shared" si="0"/>
        <v>8076.373333333333</v>
      </c>
      <c r="L52" s="67">
        <f t="shared" si="12"/>
        <v>19181.386666666665</v>
      </c>
      <c r="M52" s="67">
        <f>19500/200</f>
        <v>97.5</v>
      </c>
      <c r="N52" s="67">
        <f t="shared" si="31"/>
        <v>590.58479999999997</v>
      </c>
    </row>
    <row r="53" spans="1:15" ht="16.5" thickBot="1">
      <c r="A53" s="153" t="s">
        <v>63</v>
      </c>
      <c r="B53" s="154"/>
      <c r="C53" s="39"/>
      <c r="D53" s="55"/>
      <c r="E53" s="46"/>
      <c r="F53" s="43"/>
      <c r="G53" s="43"/>
      <c r="H53" s="49">
        <f>H50+H52</f>
        <v>1401494.96</v>
      </c>
      <c r="I53" s="49">
        <f>I50+I52</f>
        <v>559974.72</v>
      </c>
      <c r="J53" s="49">
        <f>J50+J52</f>
        <v>1961469.68</v>
      </c>
      <c r="K53" s="186" t="s">
        <v>160</v>
      </c>
      <c r="L53" s="187"/>
      <c r="M53" s="187"/>
    </row>
    <row r="54" spans="1:15" ht="15.75" thickBot="1">
      <c r="A54" s="171" t="s">
        <v>27</v>
      </c>
      <c r="B54" s="172"/>
      <c r="C54" s="40"/>
      <c r="D54" s="41"/>
      <c r="E54" s="48"/>
      <c r="F54" s="48"/>
      <c r="G54" s="48"/>
      <c r="H54" s="61">
        <f>H21+H31+H53</f>
        <v>69850191.523957625</v>
      </c>
      <c r="I54" s="61">
        <f t="shared" ref="I54" si="35">I21+I31+I53</f>
        <v>30868825.262833327</v>
      </c>
      <c r="J54" s="61">
        <f>J21+J31+J53</f>
        <v>100719016.78679095</v>
      </c>
      <c r="K54" s="61">
        <f>SUM(K14:K53)</f>
        <v>1737988.0701574066</v>
      </c>
      <c r="L54" s="61">
        <f>SUM(L14:L53)</f>
        <v>4162894.0118865343</v>
      </c>
      <c r="M54" s="61">
        <f>K54+L54</f>
        <v>5900882.0820439411</v>
      </c>
      <c r="N54" s="131">
        <f>SUM(N14:N53)</f>
        <v>132827.92411266666</v>
      </c>
    </row>
    <row r="55" spans="1:15" ht="15">
      <c r="A55" s="62"/>
      <c r="B55" s="62" t="s">
        <v>74</v>
      </c>
      <c r="C55" s="63"/>
      <c r="D55" s="64"/>
      <c r="E55" s="65"/>
      <c r="F55" s="65"/>
      <c r="G55" s="65"/>
      <c r="H55" s="66"/>
      <c r="I55" s="66"/>
      <c r="J55" s="66">
        <f>I54</f>
        <v>30868825.262833327</v>
      </c>
      <c r="K55" s="67"/>
      <c r="L55" s="67"/>
      <c r="M55" s="67"/>
      <c r="N55" s="123">
        <f>N54/(N6*25*9)</f>
        <v>49.195527449135803</v>
      </c>
      <c r="O55" s="127" t="s">
        <v>161</v>
      </c>
    </row>
    <row r="56" spans="1:15" ht="15">
      <c r="A56" s="62"/>
      <c r="B56" s="62" t="s">
        <v>75</v>
      </c>
      <c r="C56" s="63"/>
      <c r="D56" s="64"/>
      <c r="E56" s="65"/>
      <c r="F56" s="65"/>
      <c r="G56" s="65"/>
      <c r="H56" s="66"/>
      <c r="I56" s="66"/>
      <c r="J56" s="66">
        <f>H54</f>
        <v>69850191.523957625</v>
      </c>
      <c r="K56" s="67"/>
      <c r="L56" s="67"/>
      <c r="M56" s="67">
        <f>L54</f>
        <v>4162894.0118865343</v>
      </c>
      <c r="N56" s="82" t="s">
        <v>143</v>
      </c>
    </row>
    <row r="57" spans="1:15" ht="33.75">
      <c r="B57" s="126" t="s">
        <v>155</v>
      </c>
      <c r="C57" s="1" t="s">
        <v>67</v>
      </c>
      <c r="D57" s="75">
        <f>N6</f>
        <v>12</v>
      </c>
      <c r="E57" s="67"/>
      <c r="F57" s="67"/>
      <c r="G57" s="67">
        <f>(130000*2+140000*6/18)/2</f>
        <v>153333.33333333334</v>
      </c>
      <c r="H57" s="67"/>
      <c r="I57" s="67"/>
      <c r="J57" s="67">
        <f>G57*D57</f>
        <v>1840000</v>
      </c>
      <c r="K57" s="67">
        <f>I54/18</f>
        <v>1714934.7368240738</v>
      </c>
      <c r="L57" s="67"/>
      <c r="M57" s="67">
        <f t="shared" ref="M57:M58" si="36">K57+L57</f>
        <v>1714934.7368240738</v>
      </c>
      <c r="N57" s="82" t="s">
        <v>110</v>
      </c>
    </row>
    <row r="58" spans="1:15">
      <c r="B58" s="74" t="s">
        <v>101</v>
      </c>
      <c r="C58" s="1" t="s">
        <v>67</v>
      </c>
      <c r="D58" s="75">
        <f>D57</f>
        <v>12</v>
      </c>
      <c r="E58" s="67"/>
      <c r="F58" s="67"/>
      <c r="G58" s="67">
        <f>7500*4</f>
        <v>30000</v>
      </c>
      <c r="H58" s="67"/>
      <c r="I58" s="67"/>
      <c r="J58" s="67">
        <f>G58*D58</f>
        <v>360000</v>
      </c>
      <c r="K58" s="67">
        <f>J77/18</f>
        <v>633398.66783481487</v>
      </c>
      <c r="L58" s="67"/>
      <c r="M58" s="67">
        <f t="shared" si="36"/>
        <v>633398.66783481487</v>
      </c>
      <c r="N58" s="82" t="s">
        <v>111</v>
      </c>
    </row>
    <row r="59" spans="1:15" ht="22.5">
      <c r="B59" s="74" t="s">
        <v>222</v>
      </c>
      <c r="C59" s="1" t="s">
        <v>92</v>
      </c>
      <c r="D59" s="75">
        <f>3*8*4.5*N6</f>
        <v>1296</v>
      </c>
      <c r="E59" s="67"/>
      <c r="F59" s="67"/>
      <c r="G59" s="67">
        <v>600</v>
      </c>
      <c r="H59" s="67"/>
      <c r="I59" s="67"/>
      <c r="J59" s="67">
        <f>G59*D59</f>
        <v>777600</v>
      </c>
      <c r="K59" s="67">
        <f>SUM(K56:K58)</f>
        <v>2348333.4046588885</v>
      </c>
      <c r="L59" s="67"/>
      <c r="M59" s="67">
        <f>M56+M57+M58</f>
        <v>6511227.4165454227</v>
      </c>
      <c r="N59" s="82" t="s">
        <v>116</v>
      </c>
    </row>
    <row r="60" spans="1:15" ht="26.25" customHeight="1">
      <c r="B60" s="74" t="s">
        <v>149</v>
      </c>
      <c r="C60" s="1" t="s">
        <v>67</v>
      </c>
      <c r="D60" s="75">
        <f>D57</f>
        <v>12</v>
      </c>
      <c r="E60" s="67"/>
      <c r="F60" s="67"/>
      <c r="G60" s="123">
        <v>30000</v>
      </c>
      <c r="H60" s="67"/>
      <c r="I60" s="67"/>
      <c r="J60" s="67">
        <f>G60*D60</f>
        <v>360000</v>
      </c>
      <c r="K60" s="67"/>
      <c r="L60" s="67"/>
      <c r="M60" s="67"/>
      <c r="N60" s="82"/>
    </row>
    <row r="61" spans="1:15" ht="22.5">
      <c r="B61" s="74" t="s">
        <v>221</v>
      </c>
      <c r="C61" s="1" t="s">
        <v>67</v>
      </c>
      <c r="D61" s="75">
        <f>D57</f>
        <v>12</v>
      </c>
      <c r="E61" s="67"/>
      <c r="F61" s="67"/>
      <c r="G61" s="67">
        <f>(35*6*25)*3.69</f>
        <v>19372.5</v>
      </c>
      <c r="H61" s="67"/>
      <c r="I61" s="67"/>
      <c r="J61" s="67">
        <f t="shared" ref="J61:J74" si="37">G61*D61</f>
        <v>232470</v>
      </c>
      <c r="K61" s="110" t="s">
        <v>114</v>
      </c>
      <c r="L61" s="110" t="s">
        <v>115</v>
      </c>
      <c r="M61" s="110" t="s">
        <v>27</v>
      </c>
    </row>
    <row r="62" spans="1:15">
      <c r="B62" s="2" t="s">
        <v>103</v>
      </c>
      <c r="C62" s="1" t="s">
        <v>67</v>
      </c>
      <c r="D62" s="75">
        <f>D57</f>
        <v>12</v>
      </c>
      <c r="E62" s="67"/>
      <c r="F62" s="67"/>
      <c r="G62" s="123">
        <v>25000</v>
      </c>
      <c r="H62" s="67"/>
      <c r="I62" s="67"/>
      <c r="J62" s="67">
        <f t="shared" si="37"/>
        <v>300000</v>
      </c>
    </row>
    <row r="63" spans="1:15">
      <c r="B63" s="2" t="s">
        <v>104</v>
      </c>
      <c r="C63" s="1" t="s">
        <v>67</v>
      </c>
      <c r="D63" s="75">
        <f>D57</f>
        <v>12</v>
      </c>
      <c r="E63" s="67"/>
      <c r="F63" s="67"/>
      <c r="G63" s="67">
        <v>40000</v>
      </c>
      <c r="H63" s="67"/>
      <c r="I63" s="67"/>
      <c r="J63" s="67">
        <f t="shared" si="37"/>
        <v>480000</v>
      </c>
    </row>
    <row r="64" spans="1:15">
      <c r="B64" s="2" t="s">
        <v>106</v>
      </c>
      <c r="C64" s="1" t="s">
        <v>67</v>
      </c>
      <c r="D64" s="75">
        <f>D57</f>
        <v>12</v>
      </c>
      <c r="E64" s="67"/>
      <c r="F64" s="67"/>
      <c r="G64" s="67">
        <v>1200</v>
      </c>
      <c r="H64" s="67"/>
      <c r="I64" s="67"/>
      <c r="J64" s="67">
        <f t="shared" si="37"/>
        <v>14400</v>
      </c>
    </row>
    <row r="65" spans="1:14">
      <c r="B65" s="2" t="s">
        <v>107</v>
      </c>
      <c r="C65" s="1" t="s">
        <v>34</v>
      </c>
      <c r="D65" s="75">
        <v>230</v>
      </c>
      <c r="E65" s="67"/>
      <c r="F65" s="67"/>
      <c r="G65" s="67">
        <v>600</v>
      </c>
      <c r="H65" s="67"/>
      <c r="I65" s="67"/>
      <c r="J65" s="67">
        <f t="shared" si="37"/>
        <v>138000</v>
      </c>
    </row>
    <row r="66" spans="1:14">
      <c r="B66" s="122" t="s">
        <v>105</v>
      </c>
      <c r="C66" s="1" t="s">
        <v>67</v>
      </c>
      <c r="D66" s="75">
        <f>D57</f>
        <v>12</v>
      </c>
      <c r="E66" s="67"/>
      <c r="F66" s="67"/>
      <c r="G66" s="67">
        <f>2*40000+50000+60000</f>
        <v>190000</v>
      </c>
      <c r="H66" s="67"/>
      <c r="I66" s="67"/>
      <c r="J66" s="67">
        <f t="shared" si="37"/>
        <v>2280000</v>
      </c>
    </row>
    <row r="67" spans="1:14">
      <c r="B67" s="2" t="s">
        <v>68</v>
      </c>
      <c r="C67" s="1" t="s">
        <v>69</v>
      </c>
      <c r="D67" s="75">
        <v>8</v>
      </c>
      <c r="E67" s="67"/>
      <c r="F67" s="67"/>
      <c r="G67" s="67"/>
      <c r="H67" s="67"/>
      <c r="I67" s="67"/>
      <c r="J67" s="67">
        <f>(I54+J70+J75+J66/2)*D67%</f>
        <v>2656706.0210266663</v>
      </c>
      <c r="K67" s="67"/>
      <c r="L67" s="67"/>
      <c r="M67" s="67"/>
    </row>
    <row r="68" spans="1:14">
      <c r="B68" s="2" t="s">
        <v>70</v>
      </c>
      <c r="C68" s="1" t="s">
        <v>67</v>
      </c>
      <c r="D68" s="75">
        <f>D57</f>
        <v>12</v>
      </c>
      <c r="E68" s="67"/>
      <c r="F68" s="67"/>
      <c r="G68" s="67">
        <v>20000</v>
      </c>
      <c r="H68" s="67"/>
      <c r="I68" s="67"/>
      <c r="J68" s="67">
        <f t="shared" si="37"/>
        <v>240000</v>
      </c>
    </row>
    <row r="69" spans="1:14">
      <c r="B69" s="2" t="s">
        <v>71</v>
      </c>
      <c r="C69" s="1" t="s">
        <v>67</v>
      </c>
      <c r="D69" s="75">
        <f>D57</f>
        <v>12</v>
      </c>
      <c r="E69" s="67"/>
      <c r="F69" s="67"/>
      <c r="G69" s="67">
        <v>20000</v>
      </c>
      <c r="H69" s="67"/>
      <c r="I69" s="67"/>
      <c r="J69" s="67">
        <f t="shared" si="37"/>
        <v>240000</v>
      </c>
    </row>
    <row r="70" spans="1:14">
      <c r="B70" s="122" t="s">
        <v>218</v>
      </c>
      <c r="C70" s="1" t="s">
        <v>67</v>
      </c>
      <c r="D70" s="75">
        <f>D57</f>
        <v>12</v>
      </c>
      <c r="E70" s="67"/>
      <c r="F70" s="67"/>
      <c r="G70" s="123">
        <f>25000*4</f>
        <v>100000</v>
      </c>
      <c r="H70" s="67"/>
      <c r="I70" s="67"/>
      <c r="J70" s="67">
        <f t="shared" si="37"/>
        <v>1200000</v>
      </c>
    </row>
    <row r="71" spans="1:14">
      <c r="B71" s="2" t="s">
        <v>136</v>
      </c>
      <c r="C71" s="1" t="s">
        <v>67</v>
      </c>
      <c r="D71" s="75">
        <f>D57</f>
        <v>12</v>
      </c>
      <c r="E71" s="67"/>
      <c r="F71" s="67"/>
      <c r="G71" s="123">
        <v>8500</v>
      </c>
      <c r="H71" s="67"/>
      <c r="I71" s="67"/>
      <c r="J71" s="67">
        <f t="shared" si="37"/>
        <v>102000</v>
      </c>
    </row>
    <row r="72" spans="1:14">
      <c r="B72" s="2" t="s">
        <v>135</v>
      </c>
      <c r="C72" s="1" t="s">
        <v>67</v>
      </c>
      <c r="D72" s="75">
        <f>D57</f>
        <v>12</v>
      </c>
      <c r="E72" s="67"/>
      <c r="F72" s="67"/>
      <c r="G72" s="123">
        <v>10000</v>
      </c>
      <c r="H72" s="67"/>
      <c r="I72" s="67"/>
      <c r="J72" s="67">
        <f t="shared" si="37"/>
        <v>120000</v>
      </c>
    </row>
    <row r="73" spans="1:14">
      <c r="B73" s="2" t="s">
        <v>220</v>
      </c>
      <c r="C73" s="1" t="s">
        <v>67</v>
      </c>
      <c r="D73" s="75">
        <f>D57</f>
        <v>12</v>
      </c>
      <c r="E73" s="67"/>
      <c r="F73" s="67"/>
      <c r="G73" s="67"/>
      <c r="H73" s="67"/>
      <c r="I73" s="67"/>
      <c r="J73" s="67"/>
    </row>
    <row r="74" spans="1:14">
      <c r="B74" s="2" t="s">
        <v>139</v>
      </c>
      <c r="C74" s="96" t="s">
        <v>30</v>
      </c>
      <c r="D74" s="121">
        <v>8</v>
      </c>
      <c r="E74" s="67"/>
      <c r="F74" s="67"/>
      <c r="G74" s="67">
        <v>7500</v>
      </c>
      <c r="H74" s="67"/>
      <c r="I74" s="67"/>
      <c r="J74" s="67">
        <f t="shared" si="37"/>
        <v>60000</v>
      </c>
    </row>
    <row r="75" spans="1:14">
      <c r="B75" s="122"/>
      <c r="C75" s="96"/>
      <c r="D75" s="75"/>
      <c r="E75" s="67"/>
      <c r="F75" s="67"/>
      <c r="G75" s="67"/>
      <c r="H75" s="67"/>
      <c r="I75" s="67"/>
      <c r="J75" s="67"/>
    </row>
    <row r="76" spans="1:14">
      <c r="A76" s="3" t="s">
        <v>90</v>
      </c>
      <c r="B76" s="2" t="s">
        <v>86</v>
      </c>
      <c r="C76" s="1" t="s">
        <v>69</v>
      </c>
      <c r="D76" s="99">
        <v>0</v>
      </c>
      <c r="E76" s="67"/>
      <c r="F76" s="67"/>
      <c r="G76" s="67"/>
      <c r="H76" s="67"/>
      <c r="I76" s="67"/>
      <c r="J76" s="67">
        <f>J81*D76%</f>
        <v>0</v>
      </c>
    </row>
    <row r="77" spans="1:14">
      <c r="A77" s="76"/>
      <c r="B77" s="77" t="s">
        <v>73</v>
      </c>
      <c r="C77" s="78"/>
      <c r="D77" s="79"/>
      <c r="E77" s="80"/>
      <c r="F77" s="80"/>
      <c r="G77" s="80"/>
      <c r="H77" s="80"/>
      <c r="I77" s="80"/>
      <c r="J77" s="80">
        <f>SUM(J57:J76)</f>
        <v>11401176.021026667</v>
      </c>
    </row>
    <row r="78" spans="1:14">
      <c r="B78" s="73" t="s">
        <v>72</v>
      </c>
      <c r="C78" s="69"/>
      <c r="D78" s="71"/>
      <c r="E78" s="72"/>
      <c r="F78" s="72"/>
      <c r="G78" s="72"/>
      <c r="H78" s="72"/>
      <c r="I78" s="72"/>
      <c r="J78" s="70">
        <f>J55+J56+J77</f>
        <v>112120192.80781762</v>
      </c>
    </row>
    <row r="79" spans="1:14">
      <c r="B79" s="2" t="s">
        <v>76</v>
      </c>
      <c r="J79" s="67">
        <f>J81-'Себестоимость (в лудшем)'!J78</f>
        <v>33555307.382202461</v>
      </c>
      <c r="K79" s="81">
        <f>J79/J81</f>
        <v>0.23034283279228626</v>
      </c>
      <c r="L79" s="81"/>
      <c r="M79" s="185" t="s">
        <v>79</v>
      </c>
      <c r="N79" s="185"/>
    </row>
    <row r="80" spans="1:14">
      <c r="J80" s="67"/>
      <c r="K80" s="81">
        <f>J79/(J55)</f>
        <v>1.0870289716727157</v>
      </c>
      <c r="L80" s="81"/>
      <c r="M80" s="185" t="s">
        <v>78</v>
      </c>
      <c r="N80" s="185"/>
    </row>
    <row r="81" spans="1:12">
      <c r="B81" s="68" t="s">
        <v>83</v>
      </c>
      <c r="C81" s="69" t="s">
        <v>82</v>
      </c>
      <c r="D81" s="71"/>
      <c r="E81" s="72"/>
      <c r="F81" s="72"/>
      <c r="G81" s="72"/>
      <c r="H81" s="72"/>
      <c r="I81" s="72"/>
      <c r="J81" s="70">
        <f>Коом.пред.!J64</f>
        <v>145675500.19002008</v>
      </c>
    </row>
    <row r="82" spans="1:12">
      <c r="B82" s="2" t="s">
        <v>80</v>
      </c>
      <c r="C82" s="1" t="s">
        <v>69</v>
      </c>
      <c r="D82" s="75">
        <f>100-D83</f>
        <v>100</v>
      </c>
      <c r="J82" s="67">
        <f>J81*D82%</f>
        <v>145675500.19002008</v>
      </c>
    </row>
    <row r="83" spans="1:12">
      <c r="B83" s="2" t="s">
        <v>81</v>
      </c>
      <c r="C83" s="1" t="s">
        <v>69</v>
      </c>
      <c r="D83" s="75">
        <v>0</v>
      </c>
      <c r="J83" s="67">
        <f>J81*D83%</f>
        <v>0</v>
      </c>
    </row>
    <row r="85" spans="1:12" s="1" customFormat="1">
      <c r="A85"/>
      <c r="B85" s="72" t="s">
        <v>84</v>
      </c>
      <c r="C85" s="69"/>
      <c r="D85" s="71"/>
      <c r="E85" s="72"/>
      <c r="F85" s="72"/>
      <c r="G85" s="72"/>
      <c r="H85" s="72"/>
      <c r="I85" s="72"/>
      <c r="J85" s="70">
        <f>J81-J83-J55-J56-J77</f>
        <v>33555307.382202461</v>
      </c>
      <c r="L85" s="111"/>
    </row>
    <row r="86" spans="1:12" s="1" customFormat="1">
      <c r="A86"/>
      <c r="B86"/>
      <c r="D86" s="4"/>
      <c r="E86"/>
      <c r="F86"/>
      <c r="G86"/>
      <c r="H86"/>
      <c r="I86"/>
      <c r="J86"/>
    </row>
    <row r="87" spans="1:12">
      <c r="B87" s="2" t="s">
        <v>85</v>
      </c>
      <c r="J87" s="67">
        <f>J79+J83-J85</f>
        <v>0</v>
      </c>
    </row>
    <row r="89" spans="1:12">
      <c r="A89" s="3" t="s">
        <v>90</v>
      </c>
      <c r="B89" s="2" t="s">
        <v>87</v>
      </c>
      <c r="C89" s="100" t="s">
        <v>69</v>
      </c>
      <c r="D89" s="4">
        <v>0</v>
      </c>
      <c r="J89" s="67">
        <f>J81*D89%</f>
        <v>0</v>
      </c>
    </row>
    <row r="90" spans="1:12">
      <c r="A90" s="3" t="s">
        <v>90</v>
      </c>
      <c r="B90" s="2" t="s">
        <v>88</v>
      </c>
      <c r="C90" s="100" t="s">
        <v>69</v>
      </c>
      <c r="D90" s="4">
        <v>0</v>
      </c>
      <c r="J90" s="67">
        <f>J81*D90%</f>
        <v>0</v>
      </c>
    </row>
    <row r="91" spans="1:12">
      <c r="A91" s="3" t="s">
        <v>90</v>
      </c>
      <c r="B91" s="2" t="s">
        <v>89</v>
      </c>
      <c r="C91" s="96" t="s">
        <v>69</v>
      </c>
      <c r="D91" s="4">
        <v>0</v>
      </c>
      <c r="J91" s="67">
        <f>J81*D91%</f>
        <v>0</v>
      </c>
    </row>
    <row r="94" spans="1:12">
      <c r="J94" s="67"/>
    </row>
  </sheetData>
  <autoFilter ref="A9:C34"/>
  <mergeCells count="18">
    <mergeCell ref="A54:B54"/>
    <mergeCell ref="M79:N79"/>
    <mergeCell ref="M80:N80"/>
    <mergeCell ref="A21:B21"/>
    <mergeCell ref="A31:B31"/>
    <mergeCell ref="A34:B34"/>
    <mergeCell ref="A38:B38"/>
    <mergeCell ref="A48:B48"/>
    <mergeCell ref="A53:B53"/>
    <mergeCell ref="K53:M53"/>
    <mergeCell ref="M1:M3"/>
    <mergeCell ref="A5:J7"/>
    <mergeCell ref="A9:A11"/>
    <mergeCell ref="B9:B11"/>
    <mergeCell ref="C9:C11"/>
    <mergeCell ref="D9:D11"/>
    <mergeCell ref="E9:G10"/>
    <mergeCell ref="H9:J10"/>
  </mergeCells>
  <printOptions horizontalCentered="1"/>
  <pageMargins left="0.31496062992125984" right="0.19685039370078741" top="0.35433070866141736" bottom="0.15748031496062992" header="0.31496062992125984" footer="0.31496062992125984"/>
  <pageSetup paperSize="8" scale="71" fitToHeight="3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opLeftCell="A4" zoomScaleNormal="100" zoomScaleSheetLayoutView="100" workbookViewId="0">
      <selection activeCell="H15" sqref="H15"/>
    </sheetView>
  </sheetViews>
  <sheetFormatPr defaultRowHeight="12.75"/>
  <cols>
    <col min="1" max="1" width="7.7109375" style="3" customWidth="1"/>
    <col min="2" max="2" width="50.42578125" style="2" customWidth="1"/>
    <col min="3" max="3" width="6" style="1" customWidth="1"/>
    <col min="4" max="4" width="10.85546875" style="4" customWidth="1"/>
    <col min="5" max="5" width="11.5703125" customWidth="1"/>
    <col min="6" max="6" width="11.42578125" customWidth="1"/>
    <col min="7" max="7" width="12.42578125" customWidth="1"/>
    <col min="8" max="8" width="13" customWidth="1"/>
    <col min="9" max="9" width="12.42578125" customWidth="1"/>
    <col min="10" max="10" width="15.28515625" customWidth="1"/>
  </cols>
  <sheetData>
    <row r="1" spans="1:10" ht="15.75">
      <c r="A1" s="16" t="s">
        <v>18</v>
      </c>
      <c r="G1" s="5"/>
      <c r="H1" s="6"/>
      <c r="I1" s="35"/>
      <c r="J1" s="36"/>
    </row>
    <row r="2" spans="1:10" ht="35.25" customHeight="1">
      <c r="G2" s="37"/>
      <c r="H2" s="38"/>
      <c r="I2" s="38"/>
      <c r="J2" s="38"/>
    </row>
    <row r="3" spans="1:10">
      <c r="G3" s="9"/>
      <c r="H3" s="10"/>
      <c r="I3" s="7"/>
      <c r="J3" s="8"/>
    </row>
    <row r="4" spans="1:10" ht="11.25" customHeight="1">
      <c r="G4" s="11" t="s">
        <v>6</v>
      </c>
      <c r="H4" s="11"/>
      <c r="I4" s="7"/>
      <c r="J4" s="8"/>
    </row>
    <row r="5" spans="1:10" ht="12.75" customHeight="1">
      <c r="A5" s="159" t="s">
        <v>28</v>
      </c>
      <c r="B5" s="159"/>
      <c r="C5" s="159"/>
      <c r="D5" s="159"/>
      <c r="E5" s="159"/>
      <c r="F5" s="159"/>
      <c r="G5" s="159"/>
      <c r="H5" s="159"/>
      <c r="I5" s="159"/>
      <c r="J5" s="159"/>
    </row>
    <row r="6" spans="1:10" ht="20.2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</row>
    <row r="7" spans="1:10" ht="27" customHeight="1">
      <c r="A7" s="159"/>
      <c r="B7" s="159"/>
      <c r="C7" s="159"/>
      <c r="D7" s="159"/>
      <c r="E7" s="159"/>
      <c r="F7" s="159"/>
      <c r="G7" s="159"/>
      <c r="H7" s="159"/>
      <c r="I7" s="159"/>
      <c r="J7" s="159"/>
    </row>
    <row r="8" spans="1:10" ht="18" customHeight="1">
      <c r="J8" s="67"/>
    </row>
    <row r="9" spans="1:10" ht="13.5" customHeight="1">
      <c r="A9" s="173" t="s">
        <v>1</v>
      </c>
      <c r="B9" s="174" t="s">
        <v>29</v>
      </c>
      <c r="C9" s="174" t="s">
        <v>2</v>
      </c>
      <c r="D9" s="175" t="s">
        <v>3</v>
      </c>
      <c r="E9" s="178" t="s">
        <v>7</v>
      </c>
      <c r="F9" s="179"/>
      <c r="G9" s="180"/>
      <c r="H9" s="178" t="s">
        <v>19</v>
      </c>
      <c r="I9" s="179"/>
      <c r="J9" s="180"/>
    </row>
    <row r="10" spans="1:10" ht="15.75" customHeight="1">
      <c r="A10" s="173"/>
      <c r="B10" s="174"/>
      <c r="C10" s="174"/>
      <c r="D10" s="176"/>
      <c r="E10" s="181"/>
      <c r="F10" s="182"/>
      <c r="G10" s="183"/>
      <c r="H10" s="181"/>
      <c r="I10" s="182"/>
      <c r="J10" s="183"/>
    </row>
    <row r="11" spans="1:10" ht="35.25" customHeight="1">
      <c r="A11" s="173"/>
      <c r="B11" s="174"/>
      <c r="C11" s="174"/>
      <c r="D11" s="177"/>
      <c r="E11" s="20" t="s">
        <v>4</v>
      </c>
      <c r="F11" s="20" t="s">
        <v>5</v>
      </c>
      <c r="G11" s="21" t="s">
        <v>14</v>
      </c>
      <c r="H11" s="21" t="s">
        <v>15</v>
      </c>
      <c r="I11" s="21" t="s">
        <v>16</v>
      </c>
      <c r="J11" s="21" t="s">
        <v>17</v>
      </c>
    </row>
    <row r="12" spans="1:10" ht="13.5" thickBot="1">
      <c r="A12" s="22" t="s">
        <v>0</v>
      </c>
      <c r="B12" s="22">
        <v>2</v>
      </c>
      <c r="C12" s="23">
        <v>3</v>
      </c>
      <c r="D12" s="24">
        <v>4</v>
      </c>
      <c r="E12" s="24">
        <v>6</v>
      </c>
      <c r="F12" s="24">
        <v>7</v>
      </c>
      <c r="G12" s="24">
        <v>8</v>
      </c>
      <c r="H12" s="24">
        <v>9</v>
      </c>
      <c r="I12" s="24">
        <v>10</v>
      </c>
      <c r="J12" s="24">
        <v>11</v>
      </c>
    </row>
    <row r="13" spans="1:10" ht="16.5" thickBot="1">
      <c r="A13" s="30">
        <v>1</v>
      </c>
      <c r="B13" s="31" t="s">
        <v>47</v>
      </c>
      <c r="C13" s="32"/>
      <c r="D13" s="33"/>
      <c r="E13" s="17"/>
      <c r="F13" s="18"/>
      <c r="G13" s="18"/>
      <c r="H13" s="18"/>
      <c r="I13" s="18"/>
      <c r="J13" s="19"/>
    </row>
    <row r="14" spans="1:10">
      <c r="A14" s="27" t="s">
        <v>20</v>
      </c>
      <c r="B14" s="28" t="s">
        <v>31</v>
      </c>
      <c r="C14" s="29" t="s">
        <v>30</v>
      </c>
      <c r="D14" s="42">
        <v>3378.39</v>
      </c>
      <c r="E14" s="42">
        <f>H14/D14</f>
        <v>4929.3929889681185</v>
      </c>
      <c r="F14" s="42">
        <v>2400</v>
      </c>
      <c r="G14" s="42">
        <f>E14+F14</f>
        <v>7329.3929889681185</v>
      </c>
      <c r="H14" s="42">
        <v>16653411.98</v>
      </c>
      <c r="I14" s="42">
        <f>F14*D14</f>
        <v>8108136</v>
      </c>
      <c r="J14" s="42">
        <f>H14+I14</f>
        <v>24761547.98</v>
      </c>
    </row>
    <row r="15" spans="1:10">
      <c r="A15" s="25" t="s">
        <v>21</v>
      </c>
      <c r="B15" s="28" t="s">
        <v>38</v>
      </c>
      <c r="C15" s="26" t="s">
        <v>30</v>
      </c>
      <c r="D15" s="42">
        <v>30.49</v>
      </c>
      <c r="E15" s="42">
        <f t="shared" ref="E15:E17" si="0">H15/D15</f>
        <v>4929.5283699573638</v>
      </c>
      <c r="F15" s="42">
        <f>F14</f>
        <v>2400</v>
      </c>
      <c r="G15" s="42">
        <f t="shared" ref="G15:G17" si="1">E15+F15</f>
        <v>7329.5283699573638</v>
      </c>
      <c r="H15" s="42">
        <v>150301.32</v>
      </c>
      <c r="I15" s="42">
        <f t="shared" ref="I15:I17" si="2">F15*D15</f>
        <v>73176</v>
      </c>
      <c r="J15" s="42">
        <f t="shared" ref="J15:J17" si="3">H15+I15</f>
        <v>223477.32</v>
      </c>
    </row>
    <row r="16" spans="1:10">
      <c r="A16" s="25" t="s">
        <v>22</v>
      </c>
      <c r="B16" s="28" t="s">
        <v>35</v>
      </c>
      <c r="C16" s="26" t="s">
        <v>30</v>
      </c>
      <c r="D16" s="42">
        <v>18.63</v>
      </c>
      <c r="E16" s="42">
        <f t="shared" si="0"/>
        <v>3223.9398819108965</v>
      </c>
      <c r="F16" s="42">
        <v>3000</v>
      </c>
      <c r="G16" s="42">
        <f t="shared" si="1"/>
        <v>6223.9398819108965</v>
      </c>
      <c r="H16" s="42">
        <v>60062</v>
      </c>
      <c r="I16" s="42">
        <f t="shared" si="2"/>
        <v>55890</v>
      </c>
      <c r="J16" s="42">
        <f t="shared" si="3"/>
        <v>115952</v>
      </c>
    </row>
    <row r="17" spans="1:10" ht="13.5" thickBot="1">
      <c r="A17" s="25" t="s">
        <v>23</v>
      </c>
      <c r="B17" s="28" t="s">
        <v>33</v>
      </c>
      <c r="C17" s="26" t="s">
        <v>34</v>
      </c>
      <c r="D17" s="42">
        <v>682.51</v>
      </c>
      <c r="E17" s="42">
        <f t="shared" si="0"/>
        <v>386.16641514410048</v>
      </c>
      <c r="F17" s="42">
        <v>800</v>
      </c>
      <c r="G17" s="42">
        <f t="shared" si="1"/>
        <v>1186.1664151441005</v>
      </c>
      <c r="H17" s="42">
        <v>263562.44</v>
      </c>
      <c r="I17" s="42">
        <f t="shared" si="2"/>
        <v>546008</v>
      </c>
      <c r="J17" s="42">
        <f t="shared" si="3"/>
        <v>809570.44</v>
      </c>
    </row>
    <row r="18" spans="1:10" ht="16.5" thickBot="1">
      <c r="A18" s="157" t="s">
        <v>24</v>
      </c>
      <c r="B18" s="158"/>
      <c r="C18" s="39"/>
      <c r="D18" s="55"/>
      <c r="E18" s="46"/>
      <c r="F18" s="43"/>
      <c r="G18" s="43"/>
      <c r="H18" s="43"/>
      <c r="I18" s="43"/>
      <c r="J18" s="49">
        <f>SUM(J14:J17)</f>
        <v>25910547.740000002</v>
      </c>
    </row>
    <row r="19" spans="1:10" ht="16.5" thickBot="1">
      <c r="A19" s="30" t="s">
        <v>21</v>
      </c>
      <c r="B19" s="31" t="s">
        <v>48</v>
      </c>
      <c r="C19" s="32"/>
      <c r="D19" s="56"/>
      <c r="E19" s="47"/>
      <c r="F19" s="44"/>
      <c r="G19" s="44"/>
      <c r="H19" s="44"/>
      <c r="I19" s="44"/>
      <c r="J19" s="45"/>
    </row>
    <row r="20" spans="1:10">
      <c r="A20" s="27" t="s">
        <v>20</v>
      </c>
      <c r="B20" s="28" t="s">
        <v>36</v>
      </c>
      <c r="C20" s="60" t="s">
        <v>34</v>
      </c>
      <c r="D20" s="42">
        <v>18880.64</v>
      </c>
      <c r="E20" s="42">
        <f t="shared" ref="E20:E26" si="4">H20/D20</f>
        <v>375.67801515202876</v>
      </c>
      <c r="F20" s="42">
        <f>F17</f>
        <v>800</v>
      </c>
      <c r="G20" s="42">
        <f t="shared" ref="G20:G26" si="5">E20+F20</f>
        <v>1175.6780151520288</v>
      </c>
      <c r="H20" s="42">
        <v>7093041.3600000003</v>
      </c>
      <c r="I20" s="42">
        <f t="shared" ref="I20:I26" si="6">F20*D20</f>
        <v>15104512</v>
      </c>
      <c r="J20" s="42">
        <f t="shared" ref="J20:J26" si="7">H20+I20</f>
        <v>22197553.359999999</v>
      </c>
    </row>
    <row r="21" spans="1:10">
      <c r="A21" s="25" t="s">
        <v>21</v>
      </c>
      <c r="B21" s="34" t="s">
        <v>37</v>
      </c>
      <c r="C21" s="60" t="s">
        <v>30</v>
      </c>
      <c r="D21" s="42">
        <v>1417.11</v>
      </c>
      <c r="E21" s="42">
        <f t="shared" si="4"/>
        <v>4928.3741558524043</v>
      </c>
      <c r="F21" s="42">
        <f>F15</f>
        <v>2400</v>
      </c>
      <c r="G21" s="42">
        <f t="shared" si="5"/>
        <v>7328.3741558524043</v>
      </c>
      <c r="H21" s="42">
        <v>6984048.2999999998</v>
      </c>
      <c r="I21" s="42">
        <f t="shared" si="6"/>
        <v>3401063.9999999995</v>
      </c>
      <c r="J21" s="42">
        <f t="shared" si="7"/>
        <v>10385112.299999999</v>
      </c>
    </row>
    <row r="22" spans="1:10" ht="38.25">
      <c r="A22" s="27" t="s">
        <v>22</v>
      </c>
      <c r="B22" s="54" t="s">
        <v>40</v>
      </c>
      <c r="C22" s="59" t="s">
        <v>34</v>
      </c>
      <c r="D22" s="42">
        <v>12299.26</v>
      </c>
      <c r="E22" s="42">
        <f t="shared" si="4"/>
        <v>855.67408445711362</v>
      </c>
      <c r="F22" s="42">
        <v>450</v>
      </c>
      <c r="G22" s="42">
        <f t="shared" si="5"/>
        <v>1305.6740844571136</v>
      </c>
      <c r="H22" s="42">
        <v>10524158.039999999</v>
      </c>
      <c r="I22" s="42">
        <f t="shared" si="6"/>
        <v>5534667</v>
      </c>
      <c r="J22" s="42">
        <f t="shared" si="7"/>
        <v>16058825.039999999</v>
      </c>
    </row>
    <row r="23" spans="1:10" ht="25.5">
      <c r="A23" s="25" t="s">
        <v>23</v>
      </c>
      <c r="B23" s="54" t="s">
        <v>39</v>
      </c>
      <c r="C23" s="59" t="s">
        <v>34</v>
      </c>
      <c r="D23" s="42">
        <v>16001.67</v>
      </c>
      <c r="E23" s="42">
        <f t="shared" si="4"/>
        <v>856.34864486019273</v>
      </c>
      <c r="F23" s="42">
        <v>400</v>
      </c>
      <c r="G23" s="42">
        <f t="shared" si="5"/>
        <v>1256.3486448601927</v>
      </c>
      <c r="H23" s="42">
        <v>13703008.42</v>
      </c>
      <c r="I23" s="42">
        <f t="shared" si="6"/>
        <v>6400668</v>
      </c>
      <c r="J23" s="42">
        <f t="shared" si="7"/>
        <v>20103676.420000002</v>
      </c>
    </row>
    <row r="24" spans="1:10">
      <c r="A24" s="27" t="s">
        <v>44</v>
      </c>
      <c r="B24" s="54" t="s">
        <v>41</v>
      </c>
      <c r="C24" s="59" t="s">
        <v>34</v>
      </c>
      <c r="D24" s="42">
        <v>900.85</v>
      </c>
      <c r="E24" s="42">
        <f t="shared" si="4"/>
        <v>211.8839096408947</v>
      </c>
      <c r="F24" s="42">
        <v>500</v>
      </c>
      <c r="G24" s="42">
        <f t="shared" si="5"/>
        <v>711.88390964089467</v>
      </c>
      <c r="H24" s="42">
        <v>190875.62</v>
      </c>
      <c r="I24" s="42">
        <f t="shared" si="6"/>
        <v>450425</v>
      </c>
      <c r="J24" s="42">
        <f t="shared" si="7"/>
        <v>641300.62</v>
      </c>
    </row>
    <row r="25" spans="1:10">
      <c r="A25" s="25" t="s">
        <v>45</v>
      </c>
      <c r="B25" s="54" t="s">
        <v>42</v>
      </c>
      <c r="C25" s="59" t="s">
        <v>30</v>
      </c>
      <c r="D25" s="42">
        <v>6.13</v>
      </c>
      <c r="E25" s="42">
        <f t="shared" si="4"/>
        <v>3225.8466557911906</v>
      </c>
      <c r="F25" s="42">
        <f>F21</f>
        <v>2400</v>
      </c>
      <c r="G25" s="42">
        <f t="shared" si="5"/>
        <v>5625.8466557911906</v>
      </c>
      <c r="H25" s="42">
        <v>19774.439999999999</v>
      </c>
      <c r="I25" s="42">
        <f t="shared" si="6"/>
        <v>14712</v>
      </c>
      <c r="J25" s="42">
        <f t="shared" si="7"/>
        <v>34486.44</v>
      </c>
    </row>
    <row r="26" spans="1:10" ht="38.25">
      <c r="A26" s="27" t="s">
        <v>46</v>
      </c>
      <c r="B26" s="54" t="s">
        <v>43</v>
      </c>
      <c r="C26" s="59" t="s">
        <v>30</v>
      </c>
      <c r="D26" s="42">
        <v>352.52</v>
      </c>
      <c r="E26" s="42">
        <f t="shared" si="4"/>
        <v>3303.1999886531262</v>
      </c>
      <c r="F26" s="42">
        <v>4500</v>
      </c>
      <c r="G26" s="42">
        <f t="shared" si="5"/>
        <v>7803.1999886531266</v>
      </c>
      <c r="H26" s="42">
        <v>1164444.06</v>
      </c>
      <c r="I26" s="42">
        <f t="shared" si="6"/>
        <v>1586340</v>
      </c>
      <c r="J26" s="42">
        <f t="shared" si="7"/>
        <v>2750784.06</v>
      </c>
    </row>
    <row r="27" spans="1:10" ht="16.5" thickBot="1">
      <c r="A27" s="151" t="s">
        <v>25</v>
      </c>
      <c r="B27" s="152"/>
      <c r="C27" s="50"/>
      <c r="D27" s="57"/>
      <c r="E27" s="51"/>
      <c r="F27" s="52"/>
      <c r="G27" s="42"/>
      <c r="H27" s="52"/>
      <c r="I27" s="52"/>
      <c r="J27" s="53">
        <f>SUM(J20:J26)</f>
        <v>72171738.24000001</v>
      </c>
    </row>
    <row r="28" spans="1:10" ht="16.5" thickBot="1">
      <c r="A28" s="30" t="s">
        <v>22</v>
      </c>
      <c r="B28" s="31" t="s">
        <v>49</v>
      </c>
      <c r="C28" s="32"/>
      <c r="D28" s="56"/>
      <c r="E28" s="47"/>
      <c r="F28" s="44"/>
      <c r="G28" s="44"/>
      <c r="H28" s="44"/>
      <c r="I28" s="44"/>
      <c r="J28" s="45"/>
    </row>
    <row r="29" spans="1:10" ht="13.5" thickBot="1">
      <c r="A29" s="27" t="s">
        <v>20</v>
      </c>
      <c r="B29" s="28" t="s">
        <v>64</v>
      </c>
      <c r="C29" s="29" t="s">
        <v>30</v>
      </c>
      <c r="D29" s="58">
        <v>122.72</v>
      </c>
      <c r="E29" s="42">
        <f t="shared" ref="E29" si="8">H29/D29</f>
        <v>3223.7884615384614</v>
      </c>
      <c r="F29" s="42">
        <v>2800</v>
      </c>
      <c r="G29" s="42">
        <f t="shared" ref="G29" si="9">E29+F29</f>
        <v>6023.788461538461</v>
      </c>
      <c r="H29" s="42">
        <v>395623.32</v>
      </c>
      <c r="I29" s="42">
        <f>F29*D29</f>
        <v>343616</v>
      </c>
      <c r="J29" s="42">
        <f t="shared" ref="J29" si="10">H29+I29</f>
        <v>739239.32000000007</v>
      </c>
    </row>
    <row r="30" spans="1:10" ht="16.5" thickBot="1">
      <c r="A30" s="153" t="s">
        <v>26</v>
      </c>
      <c r="B30" s="154"/>
      <c r="C30" s="39"/>
      <c r="D30" s="55"/>
      <c r="E30" s="46"/>
      <c r="F30" s="43"/>
      <c r="G30" s="43"/>
      <c r="H30" s="43"/>
      <c r="I30" s="43"/>
      <c r="J30" s="49">
        <f>J29</f>
        <v>739239.32000000007</v>
      </c>
    </row>
    <row r="31" spans="1:10" ht="16.5" thickBot="1">
      <c r="A31" s="30" t="s">
        <v>23</v>
      </c>
      <c r="B31" s="31" t="s">
        <v>50</v>
      </c>
      <c r="C31" s="32"/>
      <c r="D31" s="56"/>
      <c r="E31" s="47"/>
      <c r="F31" s="44"/>
      <c r="G31" s="44"/>
      <c r="H31" s="44"/>
      <c r="I31" s="44"/>
      <c r="J31" s="45"/>
    </row>
    <row r="32" spans="1:10" ht="13.5" thickBot="1">
      <c r="A32" s="27" t="s">
        <v>20</v>
      </c>
      <c r="B32" s="28" t="s">
        <v>77</v>
      </c>
      <c r="C32" s="29" t="s">
        <v>34</v>
      </c>
      <c r="D32" s="58">
        <v>2359.2800000000002</v>
      </c>
      <c r="E32" s="42">
        <f>H32/D32</f>
        <v>554.12505510155631</v>
      </c>
      <c r="F32" s="42">
        <f>F20</f>
        <v>800</v>
      </c>
      <c r="G32" s="42">
        <f>E32+F32</f>
        <v>1354.1250551015564</v>
      </c>
      <c r="H32" s="42">
        <v>1307336.1599999999</v>
      </c>
      <c r="I32" s="42">
        <f>F32*D32</f>
        <v>1887424.0000000002</v>
      </c>
      <c r="J32" s="42">
        <f t="shared" ref="J32" si="11">H32+I32</f>
        <v>3194760.16</v>
      </c>
    </row>
    <row r="33" spans="1:10" ht="16.5" thickBot="1">
      <c r="A33" s="153" t="s">
        <v>52</v>
      </c>
      <c r="B33" s="154"/>
      <c r="C33" s="39"/>
      <c r="D33" s="55"/>
      <c r="E33" s="46"/>
      <c r="F33" s="43"/>
      <c r="G33" s="43"/>
      <c r="H33" s="43"/>
      <c r="I33" s="43"/>
      <c r="J33" s="49">
        <f>J32</f>
        <v>3194760.16</v>
      </c>
    </row>
    <row r="34" spans="1:10" ht="16.5" thickBot="1">
      <c r="A34" s="30" t="s">
        <v>44</v>
      </c>
      <c r="B34" s="31" t="s">
        <v>53</v>
      </c>
      <c r="C34" s="32"/>
      <c r="D34" s="56"/>
      <c r="E34" s="47"/>
      <c r="F34" s="44"/>
      <c r="G34" s="44"/>
      <c r="H34" s="44"/>
      <c r="I34" s="44"/>
      <c r="J34" s="45"/>
    </row>
    <row r="35" spans="1:10">
      <c r="A35" s="27" t="s">
        <v>20</v>
      </c>
      <c r="B35" s="28" t="s">
        <v>36</v>
      </c>
      <c r="C35" s="60" t="s">
        <v>34</v>
      </c>
      <c r="D35" s="42">
        <v>1335.03</v>
      </c>
      <c r="E35" s="42">
        <f t="shared" ref="E35:E41" si="12">H35/D35</f>
        <v>386.16422102874094</v>
      </c>
      <c r="F35" s="42">
        <f>F32</f>
        <v>800</v>
      </c>
      <c r="G35" s="42">
        <f t="shared" ref="G35:G41" si="13">E35+F35</f>
        <v>1186.1642210287409</v>
      </c>
      <c r="H35" s="42">
        <v>515540.82</v>
      </c>
      <c r="I35" s="42">
        <f t="shared" ref="I35:I41" si="14">F35*D35</f>
        <v>1068024</v>
      </c>
      <c r="J35" s="42">
        <f t="shared" ref="J35:J41" si="15">H35+I35</f>
        <v>1583564.82</v>
      </c>
    </row>
    <row r="36" spans="1:10">
      <c r="A36" s="25" t="s">
        <v>21</v>
      </c>
      <c r="B36" s="28" t="s">
        <v>38</v>
      </c>
      <c r="C36" s="60" t="s">
        <v>30</v>
      </c>
      <c r="D36" s="42">
        <v>17.350000000000001</v>
      </c>
      <c r="E36" s="42">
        <f t="shared" si="12"/>
        <v>4929.3394812680108</v>
      </c>
      <c r="F36" s="42">
        <f>F25</f>
        <v>2400</v>
      </c>
      <c r="G36" s="42">
        <f t="shared" si="13"/>
        <v>7329.3394812680108</v>
      </c>
      <c r="H36" s="42">
        <v>85524.04</v>
      </c>
      <c r="I36" s="42">
        <f t="shared" si="14"/>
        <v>41640</v>
      </c>
      <c r="J36" s="42">
        <f t="shared" si="15"/>
        <v>127164.04</v>
      </c>
    </row>
    <row r="37" spans="1:10">
      <c r="A37" s="27" t="s">
        <v>22</v>
      </c>
      <c r="B37" s="28" t="s">
        <v>54</v>
      </c>
      <c r="C37" s="59" t="s">
        <v>30</v>
      </c>
      <c r="D37" s="42">
        <v>67.209999999999994</v>
      </c>
      <c r="E37" s="42">
        <f t="shared" si="12"/>
        <v>3198.781431334623</v>
      </c>
      <c r="F37" s="42">
        <f>F16</f>
        <v>3000</v>
      </c>
      <c r="G37" s="42">
        <f t="shared" si="13"/>
        <v>6198.7814313346225</v>
      </c>
      <c r="H37" s="42">
        <v>214990.1</v>
      </c>
      <c r="I37" s="42">
        <f t="shared" si="14"/>
        <v>201629.99999999997</v>
      </c>
      <c r="J37" s="42">
        <f t="shared" si="15"/>
        <v>416620.1</v>
      </c>
    </row>
    <row r="38" spans="1:10">
      <c r="A38" s="25" t="s">
        <v>23</v>
      </c>
      <c r="B38" s="28" t="s">
        <v>55</v>
      </c>
      <c r="C38" s="59" t="s">
        <v>30</v>
      </c>
      <c r="D38" s="42">
        <v>2.2000000000000002</v>
      </c>
      <c r="E38" s="42">
        <f t="shared" si="12"/>
        <v>3202.090909090909</v>
      </c>
      <c r="F38" s="42">
        <f>F37</f>
        <v>3000</v>
      </c>
      <c r="G38" s="42">
        <f t="shared" si="13"/>
        <v>6202.090909090909</v>
      </c>
      <c r="H38" s="42">
        <v>7044.6</v>
      </c>
      <c r="I38" s="42">
        <f t="shared" si="14"/>
        <v>6600.0000000000009</v>
      </c>
      <c r="J38" s="42">
        <f t="shared" si="15"/>
        <v>13644.600000000002</v>
      </c>
    </row>
    <row r="39" spans="1:10" ht="25.5">
      <c r="A39" s="27" t="s">
        <v>44</v>
      </c>
      <c r="B39" s="28" t="s">
        <v>66</v>
      </c>
      <c r="C39" s="59" t="s">
        <v>30</v>
      </c>
      <c r="D39" s="42">
        <v>336.04</v>
      </c>
      <c r="E39" s="42">
        <f t="shared" si="12"/>
        <v>4600.0686822997259</v>
      </c>
      <c r="F39" s="42">
        <f>F36</f>
        <v>2400</v>
      </c>
      <c r="G39" s="42">
        <f t="shared" si="13"/>
        <v>7000.0686822997259</v>
      </c>
      <c r="H39" s="42">
        <v>1545807.08</v>
      </c>
      <c r="I39" s="42">
        <f t="shared" si="14"/>
        <v>806496</v>
      </c>
      <c r="J39" s="42">
        <f t="shared" si="15"/>
        <v>2352303.08</v>
      </c>
    </row>
    <row r="40" spans="1:10">
      <c r="A40" s="25" t="s">
        <v>45</v>
      </c>
      <c r="B40" s="54" t="s">
        <v>57</v>
      </c>
      <c r="C40" s="59" t="s">
        <v>30</v>
      </c>
      <c r="D40" s="42">
        <v>10.3</v>
      </c>
      <c r="E40" s="42">
        <f t="shared" si="12"/>
        <v>3210.4048543689319</v>
      </c>
      <c r="F40" s="42">
        <f>F38</f>
        <v>3000</v>
      </c>
      <c r="G40" s="42">
        <f t="shared" si="13"/>
        <v>6210.4048543689314</v>
      </c>
      <c r="H40" s="42">
        <v>33067.17</v>
      </c>
      <c r="I40" s="42">
        <f t="shared" si="14"/>
        <v>30900.000000000004</v>
      </c>
      <c r="J40" s="42">
        <f t="shared" si="15"/>
        <v>63967.17</v>
      </c>
    </row>
    <row r="41" spans="1:10">
      <c r="A41" s="27" t="s">
        <v>46</v>
      </c>
      <c r="B41" s="54" t="s">
        <v>56</v>
      </c>
      <c r="C41" s="59" t="s">
        <v>34</v>
      </c>
      <c r="D41" s="42">
        <v>77.7</v>
      </c>
      <c r="E41" s="42">
        <f t="shared" si="12"/>
        <v>386.19562419562419</v>
      </c>
      <c r="F41" s="42">
        <f>F35</f>
        <v>800</v>
      </c>
      <c r="G41" s="42">
        <f t="shared" si="13"/>
        <v>1186.1956241956241</v>
      </c>
      <c r="H41" s="42">
        <v>30007.4</v>
      </c>
      <c r="I41" s="42">
        <f t="shared" si="14"/>
        <v>62160</v>
      </c>
      <c r="J41" s="42">
        <f t="shared" si="15"/>
        <v>92167.4</v>
      </c>
    </row>
    <row r="42" spans="1:10" ht="16.5" thickBot="1">
      <c r="A42" s="151" t="s">
        <v>59</v>
      </c>
      <c r="B42" s="152"/>
      <c r="C42" s="50"/>
      <c r="D42" s="57"/>
      <c r="E42" s="51"/>
      <c r="F42" s="52"/>
      <c r="G42" s="42"/>
      <c r="H42" s="52"/>
      <c r="I42" s="52"/>
      <c r="J42" s="53">
        <f>SUM(J35:J41)</f>
        <v>4649431.2100000009</v>
      </c>
    </row>
    <row r="43" spans="1:10" ht="16.5" thickBot="1">
      <c r="A43" s="30" t="s">
        <v>45</v>
      </c>
      <c r="B43" s="31" t="s">
        <v>58</v>
      </c>
      <c r="C43" s="32"/>
      <c r="D43" s="56"/>
      <c r="E43" s="47"/>
      <c r="F43" s="44"/>
      <c r="G43" s="44"/>
      <c r="H43" s="44"/>
      <c r="I43" s="44"/>
      <c r="J43" s="45"/>
    </row>
    <row r="44" spans="1:10">
      <c r="A44" s="27" t="s">
        <v>20</v>
      </c>
      <c r="B44" s="28" t="s">
        <v>60</v>
      </c>
      <c r="C44" s="29" t="s">
        <v>61</v>
      </c>
      <c r="D44" s="58">
        <v>1</v>
      </c>
      <c r="E44" s="42">
        <v>6500000</v>
      </c>
      <c r="F44" s="42">
        <v>2500000</v>
      </c>
      <c r="G44" s="42">
        <f>E44+F44</f>
        <v>9000000</v>
      </c>
      <c r="H44" s="42">
        <f>E44*D44</f>
        <v>6500000</v>
      </c>
      <c r="I44" s="42">
        <f>F44*D44</f>
        <v>2500000</v>
      </c>
      <c r="J44" s="42">
        <f t="shared" ref="J44:J45" si="16">H44+I44</f>
        <v>9000000</v>
      </c>
    </row>
    <row r="45" spans="1:10" ht="13.5" thickBot="1">
      <c r="A45" s="27" t="s">
        <v>21</v>
      </c>
      <c r="B45" s="28" t="s">
        <v>62</v>
      </c>
      <c r="C45" s="29" t="s">
        <v>61</v>
      </c>
      <c r="D45" s="58">
        <v>1</v>
      </c>
      <c r="E45" s="42">
        <v>150000</v>
      </c>
      <c r="F45" s="42">
        <v>60000</v>
      </c>
      <c r="G45" s="42">
        <f>E45+F45</f>
        <v>210000</v>
      </c>
      <c r="H45" s="42">
        <f>E45*D45</f>
        <v>150000</v>
      </c>
      <c r="I45" s="42">
        <f>F45*D45</f>
        <v>60000</v>
      </c>
      <c r="J45" s="42">
        <f t="shared" si="16"/>
        <v>210000</v>
      </c>
    </row>
    <row r="46" spans="1:10" ht="16.5" thickBot="1">
      <c r="A46" s="153" t="s">
        <v>63</v>
      </c>
      <c r="B46" s="154"/>
      <c r="C46" s="39"/>
      <c r="D46" s="55"/>
      <c r="E46" s="46"/>
      <c r="F46" s="43"/>
      <c r="G46" s="43"/>
      <c r="H46" s="43"/>
      <c r="I46" s="43"/>
      <c r="J46" s="49">
        <f>J44+J45</f>
        <v>9210000</v>
      </c>
    </row>
    <row r="47" spans="1:10" ht="15.75" thickBot="1">
      <c r="A47" s="171" t="s">
        <v>27</v>
      </c>
      <c r="B47" s="172"/>
      <c r="C47" s="40"/>
      <c r="D47" s="41"/>
      <c r="E47" s="48"/>
      <c r="F47" s="48"/>
      <c r="G47" s="48"/>
      <c r="H47" s="48"/>
      <c r="I47" s="48"/>
      <c r="J47" s="61">
        <f>J18+J27+J30+J33+J42+J46</f>
        <v>115875716.67000002</v>
      </c>
    </row>
    <row r="49" spans="1:2" ht="15.75">
      <c r="B49" s="12" t="s">
        <v>32</v>
      </c>
    </row>
    <row r="50" spans="1:2" ht="15.75">
      <c r="B50" s="12" t="s">
        <v>8</v>
      </c>
    </row>
    <row r="51" spans="1:2" ht="15.75">
      <c r="B51" s="12" t="s">
        <v>9</v>
      </c>
    </row>
    <row r="52" spans="1:2" ht="21">
      <c r="B52" s="13" t="s">
        <v>10</v>
      </c>
    </row>
    <row r="53" spans="1:2" ht="15.75">
      <c r="B53" s="12" t="s">
        <v>11</v>
      </c>
    </row>
    <row r="54" spans="1:2" ht="33" customHeight="1">
      <c r="B54" s="14" t="s">
        <v>12</v>
      </c>
    </row>
    <row r="55" spans="1:2" ht="15.75">
      <c r="B55" s="15" t="s">
        <v>13</v>
      </c>
    </row>
    <row r="56" spans="1:2">
      <c r="A56"/>
      <c r="B56"/>
    </row>
    <row r="57" spans="1:2">
      <c r="A57"/>
      <c r="B57"/>
    </row>
  </sheetData>
  <autoFilter ref="A9:C30"/>
  <mergeCells count="14">
    <mergeCell ref="A5:J7"/>
    <mergeCell ref="A9:A11"/>
    <mergeCell ref="B9:B11"/>
    <mergeCell ref="C9:C11"/>
    <mergeCell ref="D9:D11"/>
    <mergeCell ref="E9:G10"/>
    <mergeCell ref="H9:J10"/>
    <mergeCell ref="A47:B47"/>
    <mergeCell ref="A18:B18"/>
    <mergeCell ref="A27:B27"/>
    <mergeCell ref="A30:B30"/>
    <mergeCell ref="A33:B33"/>
    <mergeCell ref="A42:B42"/>
    <mergeCell ref="A46:B46"/>
  </mergeCells>
  <pageMargins left="0.70866141732283472" right="0.70866141732283472" top="0.74803149606299213" bottom="0.74803149606299213" header="0.31496062992125984" footer="0.31496062992125984"/>
  <pageSetup paperSize="9" scale="59" fitToHeight="39" orientation="portrait" r:id="rId1"/>
  <headerFooter>
    <oddFooter>&amp;C&amp;P</oddFooter>
  </headerFooter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326"/>
  <sheetViews>
    <sheetView topLeftCell="A289" workbookViewId="0">
      <selection activeCell="D318" sqref="D318:D323"/>
    </sheetView>
  </sheetViews>
  <sheetFormatPr defaultRowHeight="12.75"/>
  <cols>
    <col min="1" max="1" width="19.140625" customWidth="1"/>
    <col min="4" max="4" width="15.140625" customWidth="1"/>
  </cols>
  <sheetData>
    <row r="1" spans="1:4">
      <c r="A1" t="s">
        <v>198</v>
      </c>
      <c r="B1">
        <v>510</v>
      </c>
      <c r="C1" s="67">
        <v>194</v>
      </c>
      <c r="D1" s="67">
        <f>B1*C1</f>
        <v>98940</v>
      </c>
    </row>
    <row r="2" spans="1:4">
      <c r="A2" t="s">
        <v>199</v>
      </c>
      <c r="B2">
        <v>56</v>
      </c>
      <c r="C2" s="67">
        <v>260</v>
      </c>
      <c r="D2" s="67">
        <f t="shared" ref="D2:D9" si="0">B2*C2</f>
        <v>14560</v>
      </c>
    </row>
    <row r="3" spans="1:4">
      <c r="A3" t="s">
        <v>200</v>
      </c>
      <c r="B3">
        <v>735</v>
      </c>
      <c r="C3" s="67">
        <v>280</v>
      </c>
      <c r="D3" s="67">
        <f t="shared" si="0"/>
        <v>205800</v>
      </c>
    </row>
    <row r="4" spans="1:4">
      <c r="A4" t="s">
        <v>201</v>
      </c>
      <c r="B4">
        <v>172</v>
      </c>
      <c r="C4" s="67">
        <v>405</v>
      </c>
      <c r="D4" s="67">
        <f t="shared" si="0"/>
        <v>69660</v>
      </c>
    </row>
    <row r="5" spans="1:4">
      <c r="A5" t="s">
        <v>202</v>
      </c>
      <c r="B5">
        <v>186</v>
      </c>
      <c r="C5" s="67">
        <v>410</v>
      </c>
      <c r="D5" s="67">
        <f t="shared" si="0"/>
        <v>76260</v>
      </c>
    </row>
    <row r="6" spans="1:4">
      <c r="A6" t="s">
        <v>203</v>
      </c>
      <c r="B6">
        <v>620</v>
      </c>
      <c r="C6" s="67">
        <v>518</v>
      </c>
      <c r="D6" s="67">
        <f t="shared" si="0"/>
        <v>321160</v>
      </c>
    </row>
    <row r="7" spans="1:4">
      <c r="A7" t="s">
        <v>204</v>
      </c>
      <c r="B7">
        <v>474</v>
      </c>
      <c r="C7" s="67">
        <v>550</v>
      </c>
      <c r="D7" s="67">
        <f t="shared" si="0"/>
        <v>260700</v>
      </c>
    </row>
    <row r="8" spans="1:4">
      <c r="A8" t="s">
        <v>205</v>
      </c>
      <c r="B8">
        <v>1</v>
      </c>
      <c r="C8" s="67">
        <v>650</v>
      </c>
      <c r="D8" s="67">
        <f t="shared" si="0"/>
        <v>650</v>
      </c>
    </row>
    <row r="9" spans="1:4">
      <c r="A9" t="s">
        <v>206</v>
      </c>
      <c r="B9">
        <v>10</v>
      </c>
      <c r="C9" s="67">
        <v>850</v>
      </c>
      <c r="D9" s="67">
        <f t="shared" si="0"/>
        <v>8500</v>
      </c>
    </row>
    <row r="10" spans="1:4">
      <c r="B10" s="72">
        <f>SUM(B1:B9)</f>
        <v>2764</v>
      </c>
      <c r="C10" s="70"/>
      <c r="D10" s="70">
        <f>SUM(D1:D9)</f>
        <v>1056230</v>
      </c>
    </row>
    <row r="11" spans="1:4">
      <c r="A11" t="s">
        <v>207</v>
      </c>
      <c r="B11">
        <f>608*0.035</f>
        <v>21.28</v>
      </c>
      <c r="C11" s="67">
        <v>34500</v>
      </c>
      <c r="D11" s="67">
        <f>B11*C11</f>
        <v>734160</v>
      </c>
    </row>
    <row r="12" spans="1:4" ht="25.5">
      <c r="A12" s="101" t="s">
        <v>212</v>
      </c>
      <c r="B12">
        <f>4382*1.04/1000+1.5</f>
        <v>6.0572799999999996</v>
      </c>
    </row>
    <row r="17" spans="1:4">
      <c r="A17" t="s">
        <v>230</v>
      </c>
      <c r="B17">
        <v>1.04</v>
      </c>
      <c r="C17">
        <v>62</v>
      </c>
      <c r="D17">
        <f>B17*C17</f>
        <v>64.48</v>
      </c>
    </row>
    <row r="18" spans="1:4">
      <c r="A18" t="s">
        <v>230</v>
      </c>
      <c r="B18">
        <v>1.1599999999999999</v>
      </c>
      <c r="C18">
        <v>1</v>
      </c>
      <c r="D18">
        <f t="shared" ref="D18:D81" si="1">B18*C18</f>
        <v>1.1599999999999999</v>
      </c>
    </row>
    <row r="19" spans="1:4">
      <c r="A19" t="s">
        <v>230</v>
      </c>
      <c r="B19">
        <v>1.25</v>
      </c>
      <c r="C19">
        <v>4</v>
      </c>
      <c r="D19">
        <f t="shared" si="1"/>
        <v>5</v>
      </c>
    </row>
    <row r="20" spans="1:4">
      <c r="A20" t="s">
        <v>230</v>
      </c>
      <c r="B20">
        <v>2.15</v>
      </c>
      <c r="C20">
        <v>18</v>
      </c>
      <c r="D20">
        <f t="shared" si="1"/>
        <v>38.699999999999996</v>
      </c>
    </row>
    <row r="21" spans="1:4">
      <c r="A21" t="s">
        <v>230</v>
      </c>
      <c r="B21">
        <v>2.34</v>
      </c>
      <c r="C21">
        <v>17</v>
      </c>
      <c r="D21">
        <f t="shared" si="1"/>
        <v>39.78</v>
      </c>
    </row>
    <row r="22" spans="1:4">
      <c r="A22" t="s">
        <v>230</v>
      </c>
      <c r="B22">
        <v>2.7</v>
      </c>
      <c r="C22">
        <v>1</v>
      </c>
      <c r="D22">
        <f t="shared" si="1"/>
        <v>2.7</v>
      </c>
    </row>
    <row r="23" spans="1:4">
      <c r="A23" t="s">
        <v>230</v>
      </c>
      <c r="B23">
        <v>2.81</v>
      </c>
      <c r="C23">
        <v>18</v>
      </c>
      <c r="D23">
        <f t="shared" si="1"/>
        <v>50.58</v>
      </c>
    </row>
    <row r="24" spans="1:4">
      <c r="A24" t="s">
        <v>230</v>
      </c>
      <c r="B24">
        <v>2.94</v>
      </c>
      <c r="C24">
        <v>1</v>
      </c>
      <c r="D24">
        <f t="shared" si="1"/>
        <v>2.94</v>
      </c>
    </row>
    <row r="25" spans="1:4">
      <c r="A25" t="s">
        <v>230</v>
      </c>
      <c r="B25">
        <v>3.12</v>
      </c>
      <c r="C25">
        <v>18</v>
      </c>
      <c r="D25">
        <f t="shared" si="1"/>
        <v>56.160000000000004</v>
      </c>
    </row>
    <row r="26" spans="1:4">
      <c r="A26" t="s">
        <v>230</v>
      </c>
      <c r="B26">
        <v>3.35</v>
      </c>
      <c r="C26">
        <v>36</v>
      </c>
      <c r="D26">
        <f t="shared" si="1"/>
        <v>120.60000000000001</v>
      </c>
    </row>
    <row r="27" spans="1:4">
      <c r="A27" t="s">
        <v>230</v>
      </c>
      <c r="B27">
        <v>3.48</v>
      </c>
      <c r="C27">
        <v>1</v>
      </c>
      <c r="D27">
        <f t="shared" si="1"/>
        <v>3.48</v>
      </c>
    </row>
    <row r="28" spans="1:4">
      <c r="A28" t="s">
        <v>230</v>
      </c>
      <c r="B28">
        <v>3.53</v>
      </c>
      <c r="C28">
        <v>1</v>
      </c>
      <c r="D28">
        <f t="shared" si="1"/>
        <v>3.53</v>
      </c>
    </row>
    <row r="29" spans="1:4">
      <c r="A29" t="s">
        <v>230</v>
      </c>
      <c r="B29">
        <v>3.59</v>
      </c>
      <c r="C29">
        <v>18</v>
      </c>
      <c r="D29">
        <f t="shared" si="1"/>
        <v>64.62</v>
      </c>
    </row>
    <row r="30" spans="1:4">
      <c r="A30" t="s">
        <v>230</v>
      </c>
      <c r="B30">
        <v>3.92</v>
      </c>
      <c r="C30">
        <v>1</v>
      </c>
      <c r="D30">
        <f t="shared" si="1"/>
        <v>3.92</v>
      </c>
    </row>
    <row r="31" spans="1:4">
      <c r="A31" t="s">
        <v>230</v>
      </c>
      <c r="B31">
        <v>4.21</v>
      </c>
      <c r="C31">
        <v>2</v>
      </c>
      <c r="D31">
        <f t="shared" si="1"/>
        <v>8.42</v>
      </c>
    </row>
    <row r="32" spans="1:4">
      <c r="A32" t="s">
        <v>230</v>
      </c>
      <c r="B32">
        <v>4.51</v>
      </c>
      <c r="C32">
        <v>1</v>
      </c>
      <c r="D32">
        <f t="shared" si="1"/>
        <v>4.51</v>
      </c>
    </row>
    <row r="33" spans="1:4">
      <c r="A33" t="s">
        <v>230</v>
      </c>
      <c r="B33">
        <v>4.75</v>
      </c>
      <c r="C33">
        <v>1</v>
      </c>
      <c r="D33">
        <f t="shared" si="1"/>
        <v>4.75</v>
      </c>
    </row>
    <row r="34" spans="1:4">
      <c r="A34" t="s">
        <v>230</v>
      </c>
      <c r="B34">
        <v>5.68</v>
      </c>
      <c r="C34">
        <v>2</v>
      </c>
      <c r="D34">
        <f t="shared" si="1"/>
        <v>11.36</v>
      </c>
    </row>
    <row r="35" spans="1:4">
      <c r="A35" t="s">
        <v>230</v>
      </c>
      <c r="B35">
        <v>6.07</v>
      </c>
      <c r="C35">
        <v>1</v>
      </c>
      <c r="D35">
        <f t="shared" si="1"/>
        <v>6.07</v>
      </c>
    </row>
    <row r="36" spans="1:4">
      <c r="A36" t="s">
        <v>230</v>
      </c>
      <c r="B36">
        <v>0.36</v>
      </c>
      <c r="C36">
        <v>4</v>
      </c>
      <c r="D36">
        <f t="shared" si="1"/>
        <v>1.44</v>
      </c>
    </row>
    <row r="37" spans="1:4">
      <c r="A37" t="s">
        <v>230</v>
      </c>
      <c r="B37">
        <v>0.61</v>
      </c>
      <c r="C37">
        <v>12</v>
      </c>
      <c r="D37">
        <f t="shared" si="1"/>
        <v>7.32</v>
      </c>
    </row>
    <row r="38" spans="1:4">
      <c r="A38" t="s">
        <v>230</v>
      </c>
      <c r="B38">
        <v>0.66</v>
      </c>
      <c r="C38">
        <v>60</v>
      </c>
      <c r="D38">
        <f t="shared" si="1"/>
        <v>39.6</v>
      </c>
    </row>
    <row r="39" spans="1:4">
      <c r="A39" t="s">
        <v>230</v>
      </c>
      <c r="B39">
        <v>0.78</v>
      </c>
      <c r="C39">
        <v>2</v>
      </c>
      <c r="D39">
        <f t="shared" si="1"/>
        <v>1.56</v>
      </c>
    </row>
    <row r="40" spans="1:4">
      <c r="A40" t="s">
        <v>230</v>
      </c>
      <c r="B40">
        <v>1.33</v>
      </c>
      <c r="C40">
        <v>4</v>
      </c>
      <c r="D40">
        <f t="shared" si="1"/>
        <v>5.32</v>
      </c>
    </row>
    <row r="41" spans="1:4">
      <c r="A41" t="s">
        <v>230</v>
      </c>
      <c r="B41">
        <v>1.7</v>
      </c>
      <c r="C41">
        <v>39</v>
      </c>
      <c r="D41">
        <f t="shared" si="1"/>
        <v>66.3</v>
      </c>
    </row>
    <row r="42" spans="1:4">
      <c r="A42" t="s">
        <v>230</v>
      </c>
      <c r="B42">
        <v>1.7</v>
      </c>
      <c r="C42">
        <v>38</v>
      </c>
      <c r="D42">
        <f t="shared" si="1"/>
        <v>64.599999999999994</v>
      </c>
    </row>
    <row r="43" spans="1:4">
      <c r="A43" t="s">
        <v>230</v>
      </c>
      <c r="B43">
        <v>2.9</v>
      </c>
      <c r="C43">
        <v>209</v>
      </c>
      <c r="D43">
        <f t="shared" si="1"/>
        <v>606.1</v>
      </c>
    </row>
    <row r="44" spans="1:4">
      <c r="D44" s="72">
        <f>SUM(D17:D43)</f>
        <v>1285</v>
      </c>
    </row>
    <row r="45" spans="1:4">
      <c r="A45" s="82" t="s">
        <v>231</v>
      </c>
      <c r="B45">
        <v>6.25</v>
      </c>
      <c r="C45">
        <v>10</v>
      </c>
      <c r="D45">
        <f t="shared" si="1"/>
        <v>62.5</v>
      </c>
    </row>
    <row r="46" spans="1:4">
      <c r="A46" s="82" t="s">
        <v>231</v>
      </c>
      <c r="B46">
        <v>7.65</v>
      </c>
      <c r="C46">
        <v>7</v>
      </c>
      <c r="D46">
        <f t="shared" si="1"/>
        <v>53.550000000000004</v>
      </c>
    </row>
    <row r="47" spans="1:4">
      <c r="A47" s="82" t="s">
        <v>231</v>
      </c>
      <c r="B47">
        <v>7.8</v>
      </c>
      <c r="C47">
        <v>12</v>
      </c>
      <c r="D47">
        <f t="shared" si="1"/>
        <v>93.6</v>
      </c>
    </row>
    <row r="48" spans="1:4">
      <c r="A48" s="82" t="s">
        <v>231</v>
      </c>
      <c r="B48">
        <v>6.9</v>
      </c>
      <c r="C48">
        <v>6</v>
      </c>
      <c r="D48">
        <f t="shared" si="1"/>
        <v>41.400000000000006</v>
      </c>
    </row>
    <row r="49" spans="1:4">
      <c r="A49" s="82" t="s">
        <v>231</v>
      </c>
      <c r="B49">
        <v>7.35</v>
      </c>
      <c r="C49">
        <v>3</v>
      </c>
      <c r="D49">
        <f t="shared" si="1"/>
        <v>22.049999999999997</v>
      </c>
    </row>
    <row r="50" spans="1:4">
      <c r="A50" s="82" t="s">
        <v>231</v>
      </c>
      <c r="B50">
        <v>8.6</v>
      </c>
      <c r="C50">
        <v>2</v>
      </c>
      <c r="D50">
        <f t="shared" si="1"/>
        <v>17.2</v>
      </c>
    </row>
    <row r="51" spans="1:4">
      <c r="A51" s="82" t="s">
        <v>231</v>
      </c>
      <c r="B51">
        <v>9.75</v>
      </c>
      <c r="C51">
        <v>1</v>
      </c>
      <c r="D51">
        <f t="shared" si="1"/>
        <v>9.75</v>
      </c>
    </row>
    <row r="52" spans="1:4">
      <c r="A52" s="82" t="s">
        <v>231</v>
      </c>
      <c r="B52">
        <v>10.71</v>
      </c>
      <c r="C52">
        <v>6</v>
      </c>
      <c r="D52">
        <f t="shared" si="1"/>
        <v>64.260000000000005</v>
      </c>
    </row>
    <row r="53" spans="1:4">
      <c r="A53" s="82" t="s">
        <v>231</v>
      </c>
      <c r="B53">
        <v>9.98</v>
      </c>
      <c r="C53">
        <v>1</v>
      </c>
      <c r="D53">
        <f t="shared" si="1"/>
        <v>9.98</v>
      </c>
    </row>
    <row r="54" spans="1:4">
      <c r="A54" s="82" t="s">
        <v>231</v>
      </c>
      <c r="B54">
        <v>11.8</v>
      </c>
      <c r="C54">
        <v>12</v>
      </c>
      <c r="D54">
        <f t="shared" si="1"/>
        <v>141.60000000000002</v>
      </c>
    </row>
    <row r="55" spans="1:4">
      <c r="A55" s="82" t="s">
        <v>231</v>
      </c>
      <c r="B55">
        <v>14.54</v>
      </c>
      <c r="C55">
        <v>3</v>
      </c>
      <c r="D55">
        <f t="shared" si="1"/>
        <v>43.62</v>
      </c>
    </row>
    <row r="56" spans="1:4">
      <c r="A56" s="82" t="s">
        <v>231</v>
      </c>
      <c r="B56">
        <v>13.7</v>
      </c>
      <c r="C56">
        <v>1</v>
      </c>
      <c r="D56">
        <f t="shared" si="1"/>
        <v>13.7</v>
      </c>
    </row>
    <row r="57" spans="1:4">
      <c r="A57" s="82" t="s">
        <v>231</v>
      </c>
      <c r="B57">
        <v>17.3</v>
      </c>
      <c r="C57">
        <v>4</v>
      </c>
      <c r="D57">
        <f t="shared" si="1"/>
        <v>69.2</v>
      </c>
    </row>
    <row r="58" spans="1:4">
      <c r="A58" s="82" t="s">
        <v>231</v>
      </c>
      <c r="B58">
        <v>17.5</v>
      </c>
      <c r="C58">
        <v>4</v>
      </c>
      <c r="D58">
        <f t="shared" si="1"/>
        <v>70</v>
      </c>
    </row>
    <row r="59" spans="1:4">
      <c r="A59" s="82" t="s">
        <v>231</v>
      </c>
      <c r="B59">
        <v>16.21</v>
      </c>
      <c r="C59">
        <v>1</v>
      </c>
      <c r="D59">
        <f t="shared" si="1"/>
        <v>16.21</v>
      </c>
    </row>
    <row r="60" spans="1:4">
      <c r="A60" s="82" t="s">
        <v>231</v>
      </c>
      <c r="B60">
        <v>17.649999999999999</v>
      </c>
      <c r="C60">
        <v>3</v>
      </c>
      <c r="D60">
        <f t="shared" si="1"/>
        <v>52.949999999999996</v>
      </c>
    </row>
    <row r="61" spans="1:4">
      <c r="A61" s="82" t="s">
        <v>231</v>
      </c>
      <c r="B61">
        <v>16.02</v>
      </c>
      <c r="C61">
        <v>5</v>
      </c>
      <c r="D61">
        <f t="shared" si="1"/>
        <v>80.099999999999994</v>
      </c>
    </row>
    <row r="62" spans="1:4">
      <c r="A62" s="82" t="s">
        <v>231</v>
      </c>
      <c r="B62">
        <v>18.579999999999998</v>
      </c>
      <c r="C62">
        <v>1</v>
      </c>
      <c r="D62">
        <f t="shared" si="1"/>
        <v>18.579999999999998</v>
      </c>
    </row>
    <row r="63" spans="1:4">
      <c r="A63" s="82" t="s">
        <v>231</v>
      </c>
      <c r="B63">
        <v>19.05</v>
      </c>
      <c r="C63">
        <v>5</v>
      </c>
      <c r="D63">
        <f t="shared" si="1"/>
        <v>95.25</v>
      </c>
    </row>
    <row r="64" spans="1:4">
      <c r="A64" s="82" t="s">
        <v>231</v>
      </c>
      <c r="B64">
        <v>19.25</v>
      </c>
      <c r="C64">
        <v>4</v>
      </c>
      <c r="D64">
        <f t="shared" si="1"/>
        <v>77</v>
      </c>
    </row>
    <row r="65" spans="1:4">
      <c r="A65" s="82" t="s">
        <v>231</v>
      </c>
      <c r="B65">
        <v>19.45</v>
      </c>
      <c r="C65">
        <v>4</v>
      </c>
      <c r="D65">
        <f t="shared" si="1"/>
        <v>77.8</v>
      </c>
    </row>
    <row r="66" spans="1:4">
      <c r="A66" s="82" t="s">
        <v>231</v>
      </c>
      <c r="B66">
        <v>19.25</v>
      </c>
      <c r="C66">
        <v>1</v>
      </c>
      <c r="D66">
        <f t="shared" si="1"/>
        <v>19.25</v>
      </c>
    </row>
    <row r="67" spans="1:4">
      <c r="A67" s="82" t="s">
        <v>231</v>
      </c>
      <c r="B67">
        <v>56</v>
      </c>
      <c r="C67">
        <v>1</v>
      </c>
      <c r="D67">
        <f t="shared" si="1"/>
        <v>56</v>
      </c>
    </row>
    <row r="68" spans="1:4">
      <c r="A68" s="82" t="s">
        <v>231</v>
      </c>
      <c r="B68">
        <v>45.36</v>
      </c>
      <c r="C68">
        <v>1</v>
      </c>
      <c r="D68">
        <f t="shared" si="1"/>
        <v>45.36</v>
      </c>
    </row>
    <row r="69" spans="1:4">
      <c r="A69" s="82" t="s">
        <v>231</v>
      </c>
      <c r="B69">
        <v>6.27</v>
      </c>
      <c r="C69">
        <v>8</v>
      </c>
      <c r="D69">
        <f t="shared" si="1"/>
        <v>50.16</v>
      </c>
    </row>
    <row r="70" spans="1:4">
      <c r="A70" s="82" t="s">
        <v>231</v>
      </c>
      <c r="B70">
        <v>7.04</v>
      </c>
      <c r="C70">
        <v>6</v>
      </c>
      <c r="D70">
        <f t="shared" si="1"/>
        <v>42.24</v>
      </c>
    </row>
    <row r="71" spans="1:4">
      <c r="A71" s="82" t="s">
        <v>231</v>
      </c>
      <c r="B71">
        <v>6.91</v>
      </c>
      <c r="C71">
        <v>1</v>
      </c>
      <c r="D71">
        <f t="shared" si="1"/>
        <v>6.91</v>
      </c>
    </row>
    <row r="72" spans="1:4">
      <c r="A72" s="82" t="s">
        <v>231</v>
      </c>
      <c r="B72">
        <v>8.1999999999999993</v>
      </c>
      <c r="C72">
        <v>6</v>
      </c>
      <c r="D72">
        <f t="shared" si="1"/>
        <v>49.199999999999996</v>
      </c>
    </row>
    <row r="73" spans="1:4">
      <c r="A73" s="82" t="s">
        <v>231</v>
      </c>
      <c r="B73">
        <v>7.76</v>
      </c>
      <c r="C73">
        <v>3</v>
      </c>
      <c r="D73">
        <f t="shared" si="1"/>
        <v>23.28</v>
      </c>
    </row>
    <row r="74" spans="1:4">
      <c r="A74" s="82" t="s">
        <v>231</v>
      </c>
      <c r="B74">
        <v>8.99</v>
      </c>
      <c r="C74">
        <v>11</v>
      </c>
      <c r="D74">
        <f t="shared" si="1"/>
        <v>98.89</v>
      </c>
    </row>
    <row r="75" spans="1:4">
      <c r="A75" s="82" t="s">
        <v>231</v>
      </c>
      <c r="B75">
        <v>10.43</v>
      </c>
      <c r="C75">
        <v>1</v>
      </c>
      <c r="D75">
        <f t="shared" si="1"/>
        <v>10.43</v>
      </c>
    </row>
    <row r="76" spans="1:4">
      <c r="A76" s="82" t="s">
        <v>231</v>
      </c>
      <c r="B76">
        <v>15.61</v>
      </c>
      <c r="C76">
        <v>5</v>
      </c>
      <c r="D76">
        <f t="shared" si="1"/>
        <v>78.05</v>
      </c>
    </row>
    <row r="77" spans="1:4">
      <c r="A77" s="82" t="s">
        <v>231</v>
      </c>
      <c r="B77">
        <v>17.2</v>
      </c>
      <c r="C77">
        <v>1</v>
      </c>
      <c r="D77">
        <f t="shared" si="1"/>
        <v>17.2</v>
      </c>
    </row>
    <row r="78" spans="1:4">
      <c r="A78" s="82" t="s">
        <v>231</v>
      </c>
      <c r="B78">
        <v>19.95</v>
      </c>
      <c r="C78">
        <v>1</v>
      </c>
      <c r="D78">
        <f t="shared" si="1"/>
        <v>19.95</v>
      </c>
    </row>
    <row r="79" spans="1:4">
      <c r="A79" s="82" t="s">
        <v>231</v>
      </c>
      <c r="B79">
        <v>36.5</v>
      </c>
      <c r="C79">
        <v>1</v>
      </c>
      <c r="D79">
        <f t="shared" si="1"/>
        <v>36.5</v>
      </c>
    </row>
    <row r="80" spans="1:4">
      <c r="A80" s="82" t="s">
        <v>231</v>
      </c>
      <c r="B80">
        <v>7.5</v>
      </c>
      <c r="C80">
        <v>1</v>
      </c>
      <c r="D80">
        <f t="shared" si="1"/>
        <v>7.5</v>
      </c>
    </row>
    <row r="81" spans="1:4">
      <c r="A81" s="82" t="s">
        <v>231</v>
      </c>
      <c r="B81">
        <v>8</v>
      </c>
      <c r="C81">
        <v>13</v>
      </c>
      <c r="D81">
        <f t="shared" si="1"/>
        <v>104</v>
      </c>
    </row>
    <row r="82" spans="1:4">
      <c r="A82" s="82" t="s">
        <v>231</v>
      </c>
      <c r="B82">
        <v>3.67</v>
      </c>
      <c r="C82">
        <v>13</v>
      </c>
      <c r="D82">
        <f t="shared" ref="D82:D145" si="2">B82*C82</f>
        <v>47.71</v>
      </c>
    </row>
    <row r="83" spans="1:4">
      <c r="A83" s="82" t="s">
        <v>231</v>
      </c>
      <c r="B83">
        <v>8.81</v>
      </c>
      <c r="C83">
        <v>5</v>
      </c>
      <c r="D83">
        <f t="shared" si="2"/>
        <v>44.050000000000004</v>
      </c>
    </row>
    <row r="84" spans="1:4">
      <c r="A84" s="82" t="s">
        <v>231</v>
      </c>
      <c r="B84">
        <v>3.67</v>
      </c>
      <c r="C84">
        <v>5</v>
      </c>
      <c r="D84">
        <f t="shared" si="2"/>
        <v>18.350000000000001</v>
      </c>
    </row>
    <row r="85" spans="1:4">
      <c r="A85" s="82" t="s">
        <v>231</v>
      </c>
      <c r="B85">
        <v>10.23</v>
      </c>
      <c r="C85">
        <v>1</v>
      </c>
      <c r="D85">
        <f t="shared" si="2"/>
        <v>10.23</v>
      </c>
    </row>
    <row r="86" spans="1:4">
      <c r="A86" s="82" t="s">
        <v>231</v>
      </c>
      <c r="B86">
        <v>4.7</v>
      </c>
      <c r="C86">
        <v>1</v>
      </c>
      <c r="D86">
        <f t="shared" si="2"/>
        <v>4.7</v>
      </c>
    </row>
    <row r="87" spans="1:4">
      <c r="A87" s="82" t="s">
        <v>231</v>
      </c>
      <c r="B87">
        <v>6.13</v>
      </c>
      <c r="C87">
        <v>1</v>
      </c>
      <c r="D87">
        <f t="shared" si="2"/>
        <v>6.13</v>
      </c>
    </row>
    <row r="88" spans="1:4">
      <c r="A88" s="82" t="s">
        <v>231</v>
      </c>
      <c r="B88">
        <v>7.37</v>
      </c>
      <c r="C88">
        <v>13</v>
      </c>
      <c r="D88">
        <f t="shared" si="2"/>
        <v>95.81</v>
      </c>
    </row>
    <row r="89" spans="1:4">
      <c r="A89" s="82" t="s">
        <v>231</v>
      </c>
      <c r="B89">
        <v>7.4</v>
      </c>
      <c r="C89">
        <v>11</v>
      </c>
      <c r="D89">
        <f t="shared" si="2"/>
        <v>81.400000000000006</v>
      </c>
    </row>
    <row r="90" spans="1:4">
      <c r="A90" s="82" t="s">
        <v>231</v>
      </c>
      <c r="B90">
        <v>7.5</v>
      </c>
      <c r="C90">
        <v>1</v>
      </c>
      <c r="D90">
        <f t="shared" si="2"/>
        <v>7.5</v>
      </c>
    </row>
    <row r="91" spans="1:4">
      <c r="A91" s="82" t="s">
        <v>231</v>
      </c>
      <c r="B91">
        <v>7.75</v>
      </c>
      <c r="C91">
        <v>11</v>
      </c>
      <c r="D91">
        <f t="shared" si="2"/>
        <v>85.25</v>
      </c>
    </row>
    <row r="92" spans="1:4">
      <c r="A92" s="82" t="s">
        <v>231</v>
      </c>
      <c r="B92">
        <v>7.78</v>
      </c>
      <c r="C92">
        <v>1</v>
      </c>
      <c r="D92">
        <f t="shared" si="2"/>
        <v>7.78</v>
      </c>
    </row>
    <row r="93" spans="1:4">
      <c r="A93" s="82" t="s">
        <v>231</v>
      </c>
      <c r="B93">
        <v>8.1199999999999992</v>
      </c>
      <c r="C93">
        <v>5</v>
      </c>
      <c r="D93">
        <f t="shared" si="2"/>
        <v>40.599999999999994</v>
      </c>
    </row>
    <row r="94" spans="1:4">
      <c r="A94" s="82" t="s">
        <v>231</v>
      </c>
      <c r="B94">
        <v>8.15</v>
      </c>
      <c r="C94">
        <v>6</v>
      </c>
      <c r="D94">
        <f t="shared" si="2"/>
        <v>48.900000000000006</v>
      </c>
    </row>
    <row r="95" spans="1:4">
      <c r="A95" s="82" t="s">
        <v>231</v>
      </c>
      <c r="B95">
        <v>8.5399999999999991</v>
      </c>
      <c r="C95">
        <v>6</v>
      </c>
      <c r="D95">
        <f t="shared" si="2"/>
        <v>51.239999999999995</v>
      </c>
    </row>
    <row r="96" spans="1:4">
      <c r="A96" s="82" t="s">
        <v>231</v>
      </c>
      <c r="B96">
        <v>9.42</v>
      </c>
      <c r="C96">
        <v>1</v>
      </c>
      <c r="D96">
        <f t="shared" si="2"/>
        <v>9.42</v>
      </c>
    </row>
    <row r="97" spans="1:4">
      <c r="A97" s="82" t="s">
        <v>231</v>
      </c>
      <c r="B97">
        <v>9.4499999999999993</v>
      </c>
      <c r="C97">
        <v>1</v>
      </c>
      <c r="D97">
        <f t="shared" si="2"/>
        <v>9.4499999999999993</v>
      </c>
    </row>
    <row r="98" spans="1:4">
      <c r="A98" s="82" t="s">
        <v>231</v>
      </c>
      <c r="B98">
        <v>9.91</v>
      </c>
      <c r="C98">
        <v>1</v>
      </c>
      <c r="D98">
        <f t="shared" si="2"/>
        <v>9.91</v>
      </c>
    </row>
    <row r="99" spans="1:4">
      <c r="A99" s="82" t="s">
        <v>231</v>
      </c>
      <c r="B99">
        <v>11.16</v>
      </c>
      <c r="C99">
        <v>1</v>
      </c>
      <c r="D99">
        <f t="shared" si="2"/>
        <v>11.16</v>
      </c>
    </row>
    <row r="100" spans="1:4">
      <c r="A100" s="82" t="s">
        <v>231</v>
      </c>
      <c r="B100">
        <v>16.260000000000002</v>
      </c>
      <c r="C100">
        <v>1</v>
      </c>
      <c r="D100">
        <f t="shared" si="2"/>
        <v>16.260000000000002</v>
      </c>
    </row>
    <row r="101" spans="1:4">
      <c r="A101" s="82" t="s">
        <v>231</v>
      </c>
      <c r="B101">
        <v>14.21</v>
      </c>
      <c r="C101">
        <v>1</v>
      </c>
      <c r="D101">
        <f t="shared" si="2"/>
        <v>14.21</v>
      </c>
    </row>
    <row r="102" spans="1:4">
      <c r="A102" s="82" t="s">
        <v>231</v>
      </c>
      <c r="B102">
        <v>6.12</v>
      </c>
      <c r="C102">
        <v>29</v>
      </c>
      <c r="D102">
        <f t="shared" si="2"/>
        <v>177.48</v>
      </c>
    </row>
    <row r="103" spans="1:4">
      <c r="A103" s="82" t="s">
        <v>231</v>
      </c>
      <c r="B103">
        <v>6.58</v>
      </c>
      <c r="C103">
        <v>10</v>
      </c>
      <c r="D103">
        <f t="shared" si="2"/>
        <v>65.8</v>
      </c>
    </row>
    <row r="104" spans="1:4">
      <c r="A104" s="82" t="s">
        <v>231</v>
      </c>
      <c r="B104">
        <v>6.75</v>
      </c>
      <c r="C104">
        <v>11</v>
      </c>
      <c r="D104">
        <f t="shared" si="2"/>
        <v>74.25</v>
      </c>
    </row>
    <row r="105" spans="1:4">
      <c r="A105" s="82" t="s">
        <v>231</v>
      </c>
      <c r="B105">
        <v>7.25</v>
      </c>
      <c r="C105">
        <v>7</v>
      </c>
      <c r="D105">
        <f t="shared" si="2"/>
        <v>50.75</v>
      </c>
    </row>
    <row r="106" spans="1:4">
      <c r="A106" s="82" t="s">
        <v>231</v>
      </c>
      <c r="B106">
        <v>7.82</v>
      </c>
      <c r="C106">
        <v>1</v>
      </c>
      <c r="D106">
        <f t="shared" si="2"/>
        <v>7.82</v>
      </c>
    </row>
    <row r="107" spans="1:4">
      <c r="A107" s="82" t="s">
        <v>231</v>
      </c>
      <c r="B107">
        <v>8.41</v>
      </c>
      <c r="C107">
        <v>1</v>
      </c>
      <c r="D107">
        <f t="shared" si="2"/>
        <v>8.41</v>
      </c>
    </row>
    <row r="108" spans="1:4">
      <c r="A108" s="82" t="s">
        <v>231</v>
      </c>
      <c r="B108">
        <v>14.3</v>
      </c>
      <c r="C108">
        <v>2</v>
      </c>
      <c r="D108">
        <f t="shared" si="2"/>
        <v>28.6</v>
      </c>
    </row>
    <row r="109" spans="1:4">
      <c r="A109" s="82" t="s">
        <v>231</v>
      </c>
      <c r="B109">
        <v>15.74</v>
      </c>
      <c r="C109">
        <v>2</v>
      </c>
      <c r="D109">
        <f t="shared" si="2"/>
        <v>31.48</v>
      </c>
    </row>
    <row r="110" spans="1:4">
      <c r="A110" s="82" t="s">
        <v>231</v>
      </c>
      <c r="B110">
        <v>18.260000000000002</v>
      </c>
      <c r="C110">
        <v>1</v>
      </c>
      <c r="D110">
        <f t="shared" si="2"/>
        <v>18.260000000000002</v>
      </c>
    </row>
    <row r="111" spans="1:4">
      <c r="A111" s="82" t="s">
        <v>231</v>
      </c>
      <c r="B111">
        <v>11.76</v>
      </c>
      <c r="C111">
        <v>1</v>
      </c>
      <c r="D111">
        <f t="shared" si="2"/>
        <v>11.76</v>
      </c>
    </row>
    <row r="112" spans="1:4">
      <c r="A112" s="82" t="s">
        <v>231</v>
      </c>
      <c r="B112">
        <v>31.36</v>
      </c>
      <c r="C112">
        <v>1</v>
      </c>
      <c r="D112">
        <f t="shared" si="2"/>
        <v>31.36</v>
      </c>
    </row>
    <row r="113" spans="1:4">
      <c r="A113" s="82"/>
      <c r="D113" s="72">
        <f>SUM(D45:D112)</f>
        <v>2921.2500000000014</v>
      </c>
    </row>
    <row r="114" spans="1:4">
      <c r="A114" s="82" t="s">
        <v>232</v>
      </c>
      <c r="B114">
        <v>23.57</v>
      </c>
      <c r="C114">
        <v>1</v>
      </c>
      <c r="D114">
        <f t="shared" si="2"/>
        <v>23.57</v>
      </c>
    </row>
    <row r="115" spans="1:4">
      <c r="A115" s="82" t="s">
        <v>232</v>
      </c>
      <c r="B115">
        <v>21.74</v>
      </c>
      <c r="C115">
        <v>1</v>
      </c>
      <c r="D115">
        <f t="shared" si="2"/>
        <v>21.74</v>
      </c>
    </row>
    <row r="116" spans="1:4">
      <c r="A116" s="82" t="s">
        <v>232</v>
      </c>
      <c r="B116">
        <v>24.94</v>
      </c>
      <c r="C116">
        <v>1</v>
      </c>
      <c r="D116">
        <f t="shared" si="2"/>
        <v>24.94</v>
      </c>
    </row>
    <row r="117" spans="1:4">
      <c r="A117" s="82" t="s">
        <v>232</v>
      </c>
      <c r="B117">
        <v>9.5500000000000007</v>
      </c>
      <c r="C117">
        <v>1</v>
      </c>
      <c r="D117">
        <f t="shared" si="2"/>
        <v>9.5500000000000007</v>
      </c>
    </row>
    <row r="118" spans="1:4">
      <c r="A118" s="82" t="s">
        <v>232</v>
      </c>
      <c r="B118">
        <v>11.21</v>
      </c>
      <c r="C118">
        <v>1</v>
      </c>
      <c r="D118">
        <f t="shared" si="2"/>
        <v>11.21</v>
      </c>
    </row>
    <row r="119" spans="1:4">
      <c r="A119" s="82" t="s">
        <v>232</v>
      </c>
      <c r="B119">
        <v>10.3</v>
      </c>
      <c r="C119">
        <v>1</v>
      </c>
      <c r="D119">
        <f t="shared" si="2"/>
        <v>10.3</v>
      </c>
    </row>
    <row r="120" spans="1:4">
      <c r="A120" s="82" t="s">
        <v>232</v>
      </c>
      <c r="B120">
        <v>7.62</v>
      </c>
      <c r="C120">
        <v>3</v>
      </c>
      <c r="D120">
        <f t="shared" si="2"/>
        <v>22.86</v>
      </c>
    </row>
    <row r="121" spans="1:4">
      <c r="A121" s="82" t="s">
        <v>232</v>
      </c>
      <c r="B121">
        <v>7.62</v>
      </c>
      <c r="C121">
        <v>3</v>
      </c>
      <c r="D121">
        <f t="shared" si="2"/>
        <v>22.86</v>
      </c>
    </row>
    <row r="122" spans="1:4">
      <c r="A122" s="82" t="s">
        <v>232</v>
      </c>
      <c r="B122">
        <v>8.65</v>
      </c>
      <c r="C122">
        <v>2</v>
      </c>
      <c r="D122">
        <f t="shared" si="2"/>
        <v>17.3</v>
      </c>
    </row>
    <row r="123" spans="1:4">
      <c r="A123" s="82" t="s">
        <v>232</v>
      </c>
      <c r="B123">
        <v>8.65</v>
      </c>
      <c r="C123">
        <v>5</v>
      </c>
      <c r="D123">
        <f t="shared" si="2"/>
        <v>43.25</v>
      </c>
    </row>
    <row r="124" spans="1:4">
      <c r="A124" s="82" t="s">
        <v>232</v>
      </c>
      <c r="B124">
        <v>7.96</v>
      </c>
      <c r="C124">
        <v>3</v>
      </c>
      <c r="D124">
        <f t="shared" si="2"/>
        <v>23.88</v>
      </c>
    </row>
    <row r="125" spans="1:4">
      <c r="A125" s="82" t="s">
        <v>232</v>
      </c>
      <c r="B125">
        <v>7.96</v>
      </c>
      <c r="C125">
        <v>4</v>
      </c>
      <c r="D125">
        <f t="shared" si="2"/>
        <v>31.84</v>
      </c>
    </row>
    <row r="126" spans="1:4">
      <c r="A126" s="82" t="s">
        <v>232</v>
      </c>
      <c r="B126">
        <v>9.31</v>
      </c>
      <c r="C126">
        <v>4</v>
      </c>
      <c r="D126">
        <f t="shared" si="2"/>
        <v>37.24</v>
      </c>
    </row>
    <row r="127" spans="1:4">
      <c r="A127" s="82" t="s">
        <v>232</v>
      </c>
      <c r="B127">
        <v>9.31</v>
      </c>
      <c r="C127">
        <v>4</v>
      </c>
      <c r="D127">
        <f t="shared" si="2"/>
        <v>37.24</v>
      </c>
    </row>
    <row r="128" spans="1:4">
      <c r="A128" s="82" t="s">
        <v>232</v>
      </c>
      <c r="B128">
        <v>21.3</v>
      </c>
      <c r="C128">
        <v>3</v>
      </c>
      <c r="D128">
        <f t="shared" si="2"/>
        <v>63.900000000000006</v>
      </c>
    </row>
    <row r="129" spans="1:4">
      <c r="A129" s="82" t="s">
        <v>232</v>
      </c>
      <c r="B129">
        <v>12.5</v>
      </c>
      <c r="C129">
        <v>2</v>
      </c>
      <c r="D129">
        <f t="shared" si="2"/>
        <v>25</v>
      </c>
    </row>
    <row r="130" spans="1:4">
      <c r="A130" s="82" t="s">
        <v>232</v>
      </c>
      <c r="B130">
        <v>18.43</v>
      </c>
      <c r="C130">
        <v>2</v>
      </c>
      <c r="D130">
        <f t="shared" si="2"/>
        <v>36.86</v>
      </c>
    </row>
    <row r="131" spans="1:4">
      <c r="A131" s="82" t="s">
        <v>232</v>
      </c>
      <c r="B131">
        <v>18.43</v>
      </c>
      <c r="C131">
        <v>1</v>
      </c>
      <c r="D131">
        <f t="shared" si="2"/>
        <v>18.43</v>
      </c>
    </row>
    <row r="132" spans="1:4">
      <c r="A132" s="82" t="s">
        <v>232</v>
      </c>
      <c r="B132">
        <v>18.71</v>
      </c>
      <c r="C132">
        <v>2</v>
      </c>
      <c r="D132">
        <f t="shared" si="2"/>
        <v>37.42</v>
      </c>
    </row>
    <row r="133" spans="1:4">
      <c r="A133" s="82" t="s">
        <v>232</v>
      </c>
      <c r="B133">
        <v>8.3699999999999992</v>
      </c>
      <c r="C133">
        <v>3</v>
      </c>
      <c r="D133">
        <f t="shared" si="2"/>
        <v>25.11</v>
      </c>
    </row>
    <row r="134" spans="1:4">
      <c r="A134" s="82" t="s">
        <v>232</v>
      </c>
      <c r="B134">
        <v>10.62</v>
      </c>
      <c r="C134">
        <v>1</v>
      </c>
      <c r="D134">
        <f t="shared" si="2"/>
        <v>10.62</v>
      </c>
    </row>
    <row r="135" spans="1:4">
      <c r="A135" s="82" t="s">
        <v>232</v>
      </c>
      <c r="B135">
        <v>11.91</v>
      </c>
      <c r="C135">
        <v>1</v>
      </c>
      <c r="D135">
        <f t="shared" si="2"/>
        <v>11.91</v>
      </c>
    </row>
    <row r="136" spans="1:4">
      <c r="A136" s="82" t="s">
        <v>232</v>
      </c>
      <c r="B136">
        <v>11.91</v>
      </c>
      <c r="C136">
        <v>3</v>
      </c>
      <c r="D136">
        <f t="shared" si="2"/>
        <v>35.730000000000004</v>
      </c>
    </row>
    <row r="137" spans="1:4">
      <c r="A137" s="82" t="s">
        <v>232</v>
      </c>
      <c r="B137">
        <v>8.9600000000000009</v>
      </c>
      <c r="C137">
        <v>3</v>
      </c>
      <c r="D137">
        <f t="shared" si="2"/>
        <v>26.880000000000003</v>
      </c>
    </row>
    <row r="138" spans="1:4">
      <c r="A138" s="82" t="s">
        <v>232</v>
      </c>
      <c r="B138">
        <v>9.5299999999999994</v>
      </c>
      <c r="C138">
        <v>2</v>
      </c>
      <c r="D138">
        <f t="shared" si="2"/>
        <v>19.059999999999999</v>
      </c>
    </row>
    <row r="139" spans="1:4">
      <c r="A139" s="82" t="s">
        <v>232</v>
      </c>
      <c r="B139">
        <v>16.829999999999998</v>
      </c>
      <c r="C139">
        <v>1</v>
      </c>
      <c r="D139">
        <f t="shared" si="2"/>
        <v>16.829999999999998</v>
      </c>
    </row>
    <row r="140" spans="1:4">
      <c r="A140" s="82" t="s">
        <v>232</v>
      </c>
      <c r="B140">
        <v>16.98</v>
      </c>
      <c r="C140">
        <v>1</v>
      </c>
      <c r="D140">
        <f t="shared" si="2"/>
        <v>16.98</v>
      </c>
    </row>
    <row r="141" spans="1:4">
      <c r="A141" s="82" t="s">
        <v>232</v>
      </c>
      <c r="B141">
        <v>16.98</v>
      </c>
      <c r="C141">
        <v>1</v>
      </c>
      <c r="D141">
        <f t="shared" si="2"/>
        <v>16.98</v>
      </c>
    </row>
    <row r="142" spans="1:4">
      <c r="A142" s="82" t="s">
        <v>232</v>
      </c>
      <c r="B142">
        <v>8.1300000000000008</v>
      </c>
      <c r="C142">
        <v>1</v>
      </c>
      <c r="D142">
        <f t="shared" si="2"/>
        <v>8.1300000000000008</v>
      </c>
    </row>
    <row r="143" spans="1:4">
      <c r="A143" s="82" t="s">
        <v>232</v>
      </c>
      <c r="B143">
        <v>8.65</v>
      </c>
      <c r="C143">
        <v>1</v>
      </c>
      <c r="D143">
        <f t="shared" si="2"/>
        <v>8.65</v>
      </c>
    </row>
    <row r="144" spans="1:4">
      <c r="A144" s="82" t="s">
        <v>232</v>
      </c>
      <c r="B144">
        <v>10.4</v>
      </c>
      <c r="C144">
        <v>3</v>
      </c>
      <c r="D144">
        <f t="shared" si="2"/>
        <v>31.200000000000003</v>
      </c>
    </row>
    <row r="145" spans="1:4">
      <c r="A145" s="82" t="s">
        <v>232</v>
      </c>
      <c r="B145">
        <v>10.4</v>
      </c>
      <c r="C145">
        <v>2</v>
      </c>
      <c r="D145">
        <f t="shared" si="2"/>
        <v>20.8</v>
      </c>
    </row>
    <row r="146" spans="1:4">
      <c r="A146" s="82" t="s">
        <v>232</v>
      </c>
      <c r="B146">
        <v>11.21</v>
      </c>
      <c r="C146">
        <v>1</v>
      </c>
      <c r="D146">
        <f t="shared" ref="D146:D209" si="3">B146*C146</f>
        <v>11.21</v>
      </c>
    </row>
    <row r="147" spans="1:4">
      <c r="A147" s="82" t="s">
        <v>232</v>
      </c>
      <c r="B147">
        <v>17.14</v>
      </c>
      <c r="C147">
        <v>1</v>
      </c>
      <c r="D147">
        <f t="shared" si="3"/>
        <v>17.14</v>
      </c>
    </row>
    <row r="148" spans="1:4">
      <c r="A148" s="82" t="s">
        <v>232</v>
      </c>
      <c r="B148">
        <v>17.14</v>
      </c>
      <c r="C148">
        <v>2</v>
      </c>
      <c r="D148">
        <f t="shared" si="3"/>
        <v>34.28</v>
      </c>
    </row>
    <row r="149" spans="1:4">
      <c r="A149" s="82" t="s">
        <v>232</v>
      </c>
      <c r="B149">
        <v>17.14</v>
      </c>
      <c r="C149">
        <v>1</v>
      </c>
      <c r="D149">
        <f t="shared" si="3"/>
        <v>17.14</v>
      </c>
    </row>
    <row r="150" spans="1:4">
      <c r="A150" s="82" t="s">
        <v>232</v>
      </c>
      <c r="B150">
        <v>15.26</v>
      </c>
      <c r="C150">
        <v>1</v>
      </c>
      <c r="D150">
        <f t="shared" si="3"/>
        <v>15.26</v>
      </c>
    </row>
    <row r="151" spans="1:4">
      <c r="A151" s="82" t="s">
        <v>232</v>
      </c>
      <c r="B151">
        <v>11.94</v>
      </c>
      <c r="C151">
        <v>6</v>
      </c>
      <c r="D151">
        <f t="shared" si="3"/>
        <v>71.64</v>
      </c>
    </row>
    <row r="152" spans="1:4">
      <c r="A152" s="82" t="s">
        <v>232</v>
      </c>
      <c r="B152">
        <v>3.83</v>
      </c>
      <c r="C152">
        <v>6</v>
      </c>
      <c r="D152">
        <f t="shared" si="3"/>
        <v>22.98</v>
      </c>
    </row>
    <row r="153" spans="1:4">
      <c r="A153" s="82" t="s">
        <v>232</v>
      </c>
      <c r="B153">
        <v>6.07</v>
      </c>
      <c r="C153">
        <v>6</v>
      </c>
      <c r="D153">
        <f t="shared" si="3"/>
        <v>36.42</v>
      </c>
    </row>
    <row r="154" spans="1:4">
      <c r="A154" s="82" t="s">
        <v>232</v>
      </c>
      <c r="B154">
        <v>13.15</v>
      </c>
      <c r="C154">
        <v>6</v>
      </c>
      <c r="D154">
        <f t="shared" si="3"/>
        <v>78.900000000000006</v>
      </c>
    </row>
    <row r="155" spans="1:4">
      <c r="A155" s="82" t="s">
        <v>232</v>
      </c>
      <c r="B155">
        <v>47.15</v>
      </c>
      <c r="C155">
        <v>1</v>
      </c>
      <c r="D155">
        <f t="shared" si="3"/>
        <v>47.15</v>
      </c>
    </row>
    <row r="156" spans="1:4">
      <c r="A156" s="82" t="s">
        <v>232</v>
      </c>
      <c r="B156">
        <v>2.4300000000000002</v>
      </c>
      <c r="C156">
        <v>2</v>
      </c>
      <c r="D156">
        <f t="shared" si="3"/>
        <v>4.8600000000000003</v>
      </c>
    </row>
    <row r="157" spans="1:4">
      <c r="A157" s="82" t="s">
        <v>232</v>
      </c>
      <c r="B157">
        <v>20.87</v>
      </c>
      <c r="C157">
        <v>1</v>
      </c>
      <c r="D157">
        <f t="shared" si="3"/>
        <v>20.87</v>
      </c>
    </row>
    <row r="158" spans="1:4">
      <c r="A158" s="82" t="s">
        <v>232</v>
      </c>
      <c r="B158">
        <v>3.58</v>
      </c>
      <c r="C158">
        <v>2</v>
      </c>
      <c r="D158">
        <f t="shared" si="3"/>
        <v>7.16</v>
      </c>
    </row>
    <row r="159" spans="1:4">
      <c r="A159" s="82" t="s">
        <v>232</v>
      </c>
      <c r="B159">
        <v>8.44</v>
      </c>
      <c r="C159">
        <v>1</v>
      </c>
      <c r="D159">
        <f t="shared" si="3"/>
        <v>8.44</v>
      </c>
    </row>
    <row r="160" spans="1:4">
      <c r="A160" s="82" t="s">
        <v>232</v>
      </c>
      <c r="B160">
        <v>7.56</v>
      </c>
      <c r="C160">
        <v>1</v>
      </c>
      <c r="D160">
        <f t="shared" si="3"/>
        <v>7.56</v>
      </c>
    </row>
    <row r="161" spans="1:4">
      <c r="A161" s="82" t="s">
        <v>232</v>
      </c>
      <c r="B161">
        <v>2.98</v>
      </c>
      <c r="C161">
        <v>1</v>
      </c>
      <c r="D161">
        <f t="shared" si="3"/>
        <v>2.98</v>
      </c>
    </row>
    <row r="162" spans="1:4">
      <c r="A162" s="82" t="s">
        <v>232</v>
      </c>
      <c r="B162">
        <v>1.5</v>
      </c>
      <c r="C162">
        <v>1</v>
      </c>
      <c r="D162">
        <f t="shared" si="3"/>
        <v>1.5</v>
      </c>
    </row>
    <row r="163" spans="1:4">
      <c r="A163" s="82" t="s">
        <v>232</v>
      </c>
      <c r="B163">
        <v>112.33</v>
      </c>
      <c r="C163">
        <v>1</v>
      </c>
      <c r="D163">
        <f t="shared" si="3"/>
        <v>112.33</v>
      </c>
    </row>
    <row r="164" spans="1:4">
      <c r="A164" s="82" t="s">
        <v>232</v>
      </c>
      <c r="B164">
        <v>42.3</v>
      </c>
      <c r="C164">
        <v>1</v>
      </c>
      <c r="D164">
        <f t="shared" si="3"/>
        <v>42.3</v>
      </c>
    </row>
    <row r="165" spans="1:4">
      <c r="A165" s="82" t="s">
        <v>232</v>
      </c>
      <c r="B165">
        <v>18.62</v>
      </c>
      <c r="C165">
        <v>2</v>
      </c>
      <c r="D165">
        <f t="shared" si="3"/>
        <v>37.24</v>
      </c>
    </row>
    <row r="166" spans="1:4">
      <c r="A166" s="82" t="s">
        <v>232</v>
      </c>
      <c r="B166">
        <v>8.16</v>
      </c>
      <c r="C166">
        <v>4</v>
      </c>
      <c r="D166">
        <f t="shared" si="3"/>
        <v>32.64</v>
      </c>
    </row>
    <row r="167" spans="1:4">
      <c r="A167" s="82" t="s">
        <v>232</v>
      </c>
      <c r="B167">
        <v>8.16</v>
      </c>
      <c r="C167">
        <v>8</v>
      </c>
      <c r="D167">
        <f t="shared" si="3"/>
        <v>65.28</v>
      </c>
    </row>
    <row r="168" spans="1:4">
      <c r="A168" s="82" t="s">
        <v>232</v>
      </c>
      <c r="B168">
        <v>11.83</v>
      </c>
      <c r="C168">
        <v>1</v>
      </c>
      <c r="D168">
        <f t="shared" si="3"/>
        <v>11.83</v>
      </c>
    </row>
    <row r="169" spans="1:4">
      <c r="A169" s="82" t="s">
        <v>232</v>
      </c>
      <c r="B169">
        <v>11.83</v>
      </c>
      <c r="C169">
        <v>2</v>
      </c>
      <c r="D169">
        <f t="shared" si="3"/>
        <v>23.66</v>
      </c>
    </row>
    <row r="170" spans="1:4">
      <c r="A170" s="82" t="s">
        <v>232</v>
      </c>
      <c r="B170">
        <v>6.58</v>
      </c>
      <c r="C170">
        <v>2</v>
      </c>
      <c r="D170">
        <f t="shared" si="3"/>
        <v>13.16</v>
      </c>
    </row>
    <row r="171" spans="1:4">
      <c r="A171" s="82" t="s">
        <v>232</v>
      </c>
      <c r="B171">
        <v>6.86</v>
      </c>
      <c r="C171">
        <v>1</v>
      </c>
      <c r="D171">
        <f t="shared" si="3"/>
        <v>6.86</v>
      </c>
    </row>
    <row r="172" spans="1:4">
      <c r="A172" s="82" t="s">
        <v>232</v>
      </c>
      <c r="B172">
        <v>13.04</v>
      </c>
      <c r="C172">
        <v>1</v>
      </c>
      <c r="D172">
        <f t="shared" si="3"/>
        <v>13.04</v>
      </c>
    </row>
    <row r="173" spans="1:4">
      <c r="A173" s="82" t="s">
        <v>232</v>
      </c>
      <c r="B173">
        <v>2.16</v>
      </c>
      <c r="C173">
        <v>3</v>
      </c>
      <c r="D173">
        <f t="shared" si="3"/>
        <v>6.48</v>
      </c>
    </row>
    <row r="174" spans="1:4">
      <c r="A174" s="82" t="s">
        <v>232</v>
      </c>
      <c r="B174">
        <v>5.97</v>
      </c>
      <c r="C174">
        <v>3</v>
      </c>
      <c r="D174">
        <f t="shared" si="3"/>
        <v>17.91</v>
      </c>
    </row>
    <row r="175" spans="1:4">
      <c r="A175" s="82" t="s">
        <v>232</v>
      </c>
      <c r="B175">
        <v>5.97</v>
      </c>
      <c r="C175">
        <v>4</v>
      </c>
      <c r="D175">
        <f t="shared" si="3"/>
        <v>23.88</v>
      </c>
    </row>
    <row r="176" spans="1:4">
      <c r="A176" s="82" t="s">
        <v>232</v>
      </c>
      <c r="B176">
        <v>22.03</v>
      </c>
      <c r="C176">
        <v>3</v>
      </c>
      <c r="D176">
        <f t="shared" si="3"/>
        <v>66.09</v>
      </c>
    </row>
    <row r="177" spans="1:4">
      <c r="A177" s="82" t="s">
        <v>232</v>
      </c>
      <c r="B177">
        <v>11.52</v>
      </c>
      <c r="C177">
        <v>6</v>
      </c>
      <c r="D177">
        <f t="shared" si="3"/>
        <v>69.12</v>
      </c>
    </row>
    <row r="178" spans="1:4">
      <c r="A178" s="82" t="s">
        <v>232</v>
      </c>
      <c r="B178">
        <v>9.1</v>
      </c>
      <c r="C178">
        <v>3</v>
      </c>
      <c r="D178">
        <f t="shared" si="3"/>
        <v>27.299999999999997</v>
      </c>
    </row>
    <row r="179" spans="1:4">
      <c r="A179" s="82" t="s">
        <v>232</v>
      </c>
      <c r="B179">
        <v>8.26</v>
      </c>
      <c r="C179">
        <v>2</v>
      </c>
      <c r="D179">
        <f t="shared" si="3"/>
        <v>16.52</v>
      </c>
    </row>
    <row r="180" spans="1:4">
      <c r="A180" s="82" t="s">
        <v>232</v>
      </c>
      <c r="B180">
        <v>10.46</v>
      </c>
      <c r="C180">
        <v>1</v>
      </c>
      <c r="D180">
        <f t="shared" si="3"/>
        <v>10.46</v>
      </c>
    </row>
    <row r="181" spans="1:4">
      <c r="A181" s="82" t="s">
        <v>232</v>
      </c>
      <c r="B181">
        <v>89</v>
      </c>
      <c r="C181">
        <v>1</v>
      </c>
      <c r="D181">
        <f t="shared" si="3"/>
        <v>89</v>
      </c>
    </row>
    <row r="182" spans="1:4">
      <c r="A182" s="82" t="s">
        <v>232</v>
      </c>
      <c r="B182">
        <v>7.63</v>
      </c>
      <c r="C182">
        <v>1</v>
      </c>
      <c r="D182">
        <f t="shared" si="3"/>
        <v>7.63</v>
      </c>
    </row>
    <row r="183" spans="1:4">
      <c r="A183" s="82" t="s">
        <v>232</v>
      </c>
      <c r="B183">
        <v>10.43</v>
      </c>
      <c r="C183">
        <v>1</v>
      </c>
      <c r="D183">
        <f t="shared" si="3"/>
        <v>10.43</v>
      </c>
    </row>
    <row r="184" spans="1:4">
      <c r="A184" s="82" t="s">
        <v>232</v>
      </c>
      <c r="B184">
        <v>25.56</v>
      </c>
      <c r="C184">
        <v>1</v>
      </c>
      <c r="D184">
        <f t="shared" si="3"/>
        <v>25.56</v>
      </c>
    </row>
    <row r="185" spans="1:4">
      <c r="A185" s="82" t="s">
        <v>232</v>
      </c>
      <c r="B185">
        <v>8.68</v>
      </c>
      <c r="C185">
        <v>1</v>
      </c>
      <c r="D185">
        <f t="shared" si="3"/>
        <v>8.68</v>
      </c>
    </row>
    <row r="186" spans="1:4">
      <c r="A186" s="82" t="s">
        <v>232</v>
      </c>
      <c r="B186">
        <v>43.64</v>
      </c>
      <c r="C186">
        <v>1</v>
      </c>
      <c r="D186">
        <f t="shared" si="3"/>
        <v>43.64</v>
      </c>
    </row>
    <row r="187" spans="1:4">
      <c r="A187" s="82" t="s">
        <v>232</v>
      </c>
      <c r="B187">
        <v>20</v>
      </c>
      <c r="C187">
        <v>1</v>
      </c>
      <c r="D187">
        <f t="shared" si="3"/>
        <v>20</v>
      </c>
    </row>
    <row r="188" spans="1:4">
      <c r="A188" s="82" t="s">
        <v>232</v>
      </c>
      <c r="B188">
        <v>20</v>
      </c>
      <c r="C188">
        <v>1</v>
      </c>
      <c r="D188">
        <f t="shared" si="3"/>
        <v>20</v>
      </c>
    </row>
    <row r="189" spans="1:4">
      <c r="A189" s="82" t="s">
        <v>232</v>
      </c>
      <c r="B189">
        <v>9.5399999999999991</v>
      </c>
      <c r="C189">
        <v>4</v>
      </c>
      <c r="D189">
        <f t="shared" si="3"/>
        <v>38.159999999999997</v>
      </c>
    </row>
    <row r="190" spans="1:4">
      <c r="A190" s="82" t="s">
        <v>232</v>
      </c>
      <c r="B190">
        <v>9.5399999999999991</v>
      </c>
      <c r="C190">
        <v>1</v>
      </c>
      <c r="D190">
        <f t="shared" si="3"/>
        <v>9.5399999999999991</v>
      </c>
    </row>
    <row r="191" spans="1:4">
      <c r="A191" s="82" t="s">
        <v>232</v>
      </c>
      <c r="B191">
        <v>20.51</v>
      </c>
      <c r="C191">
        <v>1</v>
      </c>
      <c r="D191">
        <f t="shared" si="3"/>
        <v>20.51</v>
      </c>
    </row>
    <row r="192" spans="1:4">
      <c r="A192" s="82" t="s">
        <v>232</v>
      </c>
      <c r="B192">
        <v>74.73</v>
      </c>
      <c r="C192">
        <v>1</v>
      </c>
      <c r="D192">
        <f t="shared" si="3"/>
        <v>74.73</v>
      </c>
    </row>
    <row r="193" spans="1:4">
      <c r="A193" s="82" t="s">
        <v>232</v>
      </c>
      <c r="B193">
        <v>41.54</v>
      </c>
      <c r="C193">
        <v>1</v>
      </c>
      <c r="D193">
        <f t="shared" si="3"/>
        <v>41.54</v>
      </c>
    </row>
    <row r="194" spans="1:4">
      <c r="A194" s="82" t="s">
        <v>232</v>
      </c>
      <c r="B194">
        <v>14.24</v>
      </c>
      <c r="C194">
        <v>1</v>
      </c>
      <c r="D194">
        <f t="shared" si="3"/>
        <v>14.24</v>
      </c>
    </row>
    <row r="195" spans="1:4">
      <c r="A195" s="82" t="s">
        <v>232</v>
      </c>
      <c r="B195">
        <v>2.48</v>
      </c>
      <c r="C195">
        <v>17</v>
      </c>
      <c r="D195">
        <f t="shared" si="3"/>
        <v>42.16</v>
      </c>
    </row>
    <row r="196" spans="1:4">
      <c r="A196" s="82" t="s">
        <v>232</v>
      </c>
      <c r="B196">
        <v>20.51</v>
      </c>
      <c r="C196">
        <v>2</v>
      </c>
      <c r="D196">
        <f t="shared" si="3"/>
        <v>41.02</v>
      </c>
    </row>
    <row r="197" spans="1:4">
      <c r="A197" s="82" t="s">
        <v>232</v>
      </c>
      <c r="B197">
        <v>2.48</v>
      </c>
      <c r="C197">
        <v>1</v>
      </c>
      <c r="D197">
        <f t="shared" si="3"/>
        <v>2.48</v>
      </c>
    </row>
    <row r="198" spans="1:4">
      <c r="A198" s="82" t="s">
        <v>232</v>
      </c>
      <c r="B198">
        <v>26</v>
      </c>
      <c r="C198">
        <v>1</v>
      </c>
      <c r="D198">
        <f t="shared" si="3"/>
        <v>26</v>
      </c>
    </row>
    <row r="199" spans="1:4">
      <c r="A199" s="82" t="s">
        <v>232</v>
      </c>
      <c r="B199">
        <v>28.43</v>
      </c>
      <c r="C199">
        <v>1</v>
      </c>
      <c r="D199">
        <f t="shared" si="3"/>
        <v>28.43</v>
      </c>
    </row>
    <row r="200" spans="1:4">
      <c r="A200" s="82" t="s">
        <v>232</v>
      </c>
      <c r="B200">
        <v>147.46</v>
      </c>
      <c r="C200">
        <v>1</v>
      </c>
      <c r="D200">
        <f t="shared" si="3"/>
        <v>147.46</v>
      </c>
    </row>
    <row r="201" spans="1:4">
      <c r="A201" s="82" t="s">
        <v>232</v>
      </c>
      <c r="B201">
        <v>14.21</v>
      </c>
      <c r="C201">
        <v>2</v>
      </c>
      <c r="D201">
        <f t="shared" si="3"/>
        <v>28.42</v>
      </c>
    </row>
    <row r="202" spans="1:4">
      <c r="A202" s="82" t="s">
        <v>232</v>
      </c>
      <c r="B202">
        <v>14.21</v>
      </c>
      <c r="C202">
        <v>1</v>
      </c>
      <c r="D202">
        <f t="shared" si="3"/>
        <v>14.21</v>
      </c>
    </row>
    <row r="203" spans="1:4">
      <c r="A203" s="82" t="s">
        <v>232</v>
      </c>
      <c r="B203">
        <v>31.65</v>
      </c>
      <c r="C203">
        <v>1</v>
      </c>
      <c r="D203">
        <f t="shared" si="3"/>
        <v>31.65</v>
      </c>
    </row>
    <row r="204" spans="1:4">
      <c r="A204" s="82" t="s">
        <v>232</v>
      </c>
      <c r="B204">
        <v>1.8</v>
      </c>
      <c r="C204">
        <v>1</v>
      </c>
      <c r="D204">
        <f t="shared" si="3"/>
        <v>1.8</v>
      </c>
    </row>
    <row r="205" spans="1:4">
      <c r="A205" s="82" t="s">
        <v>232</v>
      </c>
      <c r="B205">
        <v>7.02</v>
      </c>
      <c r="C205">
        <v>1</v>
      </c>
      <c r="D205">
        <f t="shared" si="3"/>
        <v>7.02</v>
      </c>
    </row>
    <row r="206" spans="1:4">
      <c r="A206" s="82" t="s">
        <v>232</v>
      </c>
      <c r="B206">
        <v>3.65</v>
      </c>
      <c r="C206">
        <v>1</v>
      </c>
      <c r="D206">
        <f t="shared" si="3"/>
        <v>3.65</v>
      </c>
    </row>
    <row r="207" spans="1:4">
      <c r="A207" s="82" t="s">
        <v>232</v>
      </c>
      <c r="B207">
        <v>69.8</v>
      </c>
      <c r="C207">
        <v>1</v>
      </c>
      <c r="D207">
        <f t="shared" si="3"/>
        <v>69.8</v>
      </c>
    </row>
    <row r="208" spans="1:4">
      <c r="A208" s="82" t="s">
        <v>232</v>
      </c>
      <c r="B208">
        <v>50.36</v>
      </c>
      <c r="C208">
        <v>1</v>
      </c>
      <c r="D208">
        <f t="shared" si="3"/>
        <v>50.36</v>
      </c>
    </row>
    <row r="209" spans="1:4">
      <c r="A209" s="82" t="s">
        <v>232</v>
      </c>
      <c r="B209">
        <v>89.1</v>
      </c>
      <c r="C209">
        <v>1</v>
      </c>
      <c r="D209">
        <f t="shared" si="3"/>
        <v>89.1</v>
      </c>
    </row>
    <row r="210" spans="1:4">
      <c r="A210" s="82" t="s">
        <v>232</v>
      </c>
      <c r="B210">
        <v>8.77</v>
      </c>
      <c r="C210">
        <v>3</v>
      </c>
      <c r="D210">
        <f t="shared" ref="D210:D273" si="4">B210*C210</f>
        <v>26.31</v>
      </c>
    </row>
    <row r="211" spans="1:4">
      <c r="A211" s="82" t="s">
        <v>232</v>
      </c>
      <c r="B211">
        <v>8.77</v>
      </c>
      <c r="C211">
        <v>2</v>
      </c>
      <c r="D211">
        <f t="shared" si="4"/>
        <v>17.54</v>
      </c>
    </row>
    <row r="212" spans="1:4">
      <c r="A212" s="82" t="s">
        <v>232</v>
      </c>
      <c r="B212">
        <v>532.26</v>
      </c>
      <c r="C212">
        <v>1</v>
      </c>
      <c r="D212">
        <f t="shared" si="4"/>
        <v>532.26</v>
      </c>
    </row>
    <row r="213" spans="1:4">
      <c r="A213" s="82" t="s">
        <v>232</v>
      </c>
      <c r="B213">
        <v>15.51</v>
      </c>
      <c r="C213">
        <v>1</v>
      </c>
      <c r="D213">
        <f t="shared" si="4"/>
        <v>15.51</v>
      </c>
    </row>
    <row r="214" spans="1:4">
      <c r="A214" s="82" t="s">
        <v>232</v>
      </c>
      <c r="B214">
        <v>16.170000000000002</v>
      </c>
      <c r="C214">
        <v>1</v>
      </c>
      <c r="D214">
        <f t="shared" si="4"/>
        <v>16.170000000000002</v>
      </c>
    </row>
    <row r="215" spans="1:4">
      <c r="A215" s="82" t="s">
        <v>232</v>
      </c>
      <c r="B215">
        <v>20.65</v>
      </c>
      <c r="C215">
        <v>1</v>
      </c>
      <c r="D215">
        <f t="shared" si="4"/>
        <v>20.65</v>
      </c>
    </row>
    <row r="216" spans="1:4">
      <c r="A216" s="82" t="s">
        <v>232</v>
      </c>
      <c r="B216">
        <v>7.37</v>
      </c>
      <c r="C216">
        <v>1</v>
      </c>
      <c r="D216">
        <f t="shared" si="4"/>
        <v>7.37</v>
      </c>
    </row>
    <row r="217" spans="1:4">
      <c r="A217" s="82" t="s">
        <v>232</v>
      </c>
      <c r="B217">
        <v>10.34</v>
      </c>
      <c r="C217">
        <v>3</v>
      </c>
      <c r="D217">
        <f t="shared" si="4"/>
        <v>31.02</v>
      </c>
    </row>
    <row r="218" spans="1:4">
      <c r="A218" s="82" t="s">
        <v>232</v>
      </c>
      <c r="B218">
        <v>18.55</v>
      </c>
      <c r="C218">
        <v>3</v>
      </c>
      <c r="D218">
        <f t="shared" si="4"/>
        <v>55.650000000000006</v>
      </c>
    </row>
    <row r="219" spans="1:4">
      <c r="A219" s="82" t="s">
        <v>232</v>
      </c>
      <c r="B219">
        <v>10.73</v>
      </c>
      <c r="C219">
        <v>1</v>
      </c>
      <c r="D219">
        <f t="shared" si="4"/>
        <v>10.73</v>
      </c>
    </row>
    <row r="220" spans="1:4">
      <c r="A220" s="82" t="s">
        <v>232</v>
      </c>
      <c r="B220">
        <v>7.4</v>
      </c>
      <c r="C220">
        <v>5</v>
      </c>
      <c r="D220">
        <f t="shared" si="4"/>
        <v>37</v>
      </c>
    </row>
    <row r="221" spans="1:4">
      <c r="A221" s="82" t="s">
        <v>232</v>
      </c>
      <c r="B221">
        <v>7.4</v>
      </c>
      <c r="C221">
        <v>6</v>
      </c>
      <c r="D221">
        <f t="shared" si="4"/>
        <v>44.400000000000006</v>
      </c>
    </row>
    <row r="222" spans="1:4">
      <c r="A222" s="82" t="s">
        <v>232</v>
      </c>
      <c r="B222">
        <v>9.44</v>
      </c>
      <c r="C222">
        <v>4</v>
      </c>
      <c r="D222">
        <f t="shared" si="4"/>
        <v>37.76</v>
      </c>
    </row>
    <row r="223" spans="1:4">
      <c r="A223" s="82" t="s">
        <v>232</v>
      </c>
      <c r="B223">
        <v>7.65</v>
      </c>
      <c r="C223">
        <v>1</v>
      </c>
      <c r="D223">
        <f t="shared" si="4"/>
        <v>7.65</v>
      </c>
    </row>
    <row r="224" spans="1:4">
      <c r="A224" s="82" t="s">
        <v>232</v>
      </c>
      <c r="B224">
        <v>8.16</v>
      </c>
      <c r="C224">
        <v>3</v>
      </c>
      <c r="D224">
        <f t="shared" si="4"/>
        <v>24.48</v>
      </c>
    </row>
    <row r="225" spans="1:4">
      <c r="A225" s="82" t="s">
        <v>232</v>
      </c>
      <c r="B225">
        <v>15.3</v>
      </c>
      <c r="C225">
        <v>1</v>
      </c>
      <c r="D225">
        <f t="shared" si="4"/>
        <v>15.3</v>
      </c>
    </row>
    <row r="226" spans="1:4">
      <c r="A226" s="82" t="s">
        <v>232</v>
      </c>
      <c r="B226">
        <v>7.14</v>
      </c>
      <c r="C226">
        <v>2</v>
      </c>
      <c r="D226">
        <f t="shared" si="4"/>
        <v>14.28</v>
      </c>
    </row>
    <row r="227" spans="1:4">
      <c r="A227" s="82" t="s">
        <v>232</v>
      </c>
      <c r="B227">
        <v>8.16</v>
      </c>
      <c r="C227">
        <v>1</v>
      </c>
      <c r="D227">
        <f t="shared" si="4"/>
        <v>8.16</v>
      </c>
    </row>
    <row r="228" spans="1:4">
      <c r="A228" s="82" t="s">
        <v>232</v>
      </c>
      <c r="B228">
        <v>6.12</v>
      </c>
      <c r="C228">
        <v>3</v>
      </c>
      <c r="D228">
        <f t="shared" si="4"/>
        <v>18.36</v>
      </c>
    </row>
    <row r="229" spans="1:4">
      <c r="A229" s="82" t="s">
        <v>232</v>
      </c>
      <c r="B229">
        <v>8.43</v>
      </c>
      <c r="C229">
        <v>4</v>
      </c>
      <c r="D229">
        <f t="shared" si="4"/>
        <v>33.72</v>
      </c>
    </row>
    <row r="230" spans="1:4">
      <c r="A230" s="82" t="s">
        <v>232</v>
      </c>
      <c r="B230">
        <v>16.86</v>
      </c>
      <c r="C230">
        <v>4</v>
      </c>
      <c r="D230">
        <f t="shared" si="4"/>
        <v>67.44</v>
      </c>
    </row>
    <row r="231" spans="1:4">
      <c r="A231" s="82" t="s">
        <v>232</v>
      </c>
      <c r="B231">
        <v>15.3</v>
      </c>
      <c r="C231">
        <v>1</v>
      </c>
      <c r="D231">
        <f t="shared" si="4"/>
        <v>15.3</v>
      </c>
    </row>
    <row r="232" spans="1:4">
      <c r="A232" s="82" t="s">
        <v>232</v>
      </c>
      <c r="B232">
        <v>14.28</v>
      </c>
      <c r="C232">
        <v>2</v>
      </c>
      <c r="D232">
        <f t="shared" si="4"/>
        <v>28.56</v>
      </c>
    </row>
    <row r="233" spans="1:4">
      <c r="A233" s="82" t="s">
        <v>232</v>
      </c>
      <c r="B233">
        <v>5.61</v>
      </c>
      <c r="C233">
        <v>2</v>
      </c>
      <c r="D233">
        <f t="shared" si="4"/>
        <v>11.22</v>
      </c>
    </row>
    <row r="234" spans="1:4">
      <c r="A234" s="82" t="s">
        <v>232</v>
      </c>
      <c r="B234">
        <v>6.12</v>
      </c>
      <c r="C234">
        <v>9</v>
      </c>
      <c r="D234">
        <f t="shared" si="4"/>
        <v>55.08</v>
      </c>
    </row>
    <row r="235" spans="1:4">
      <c r="A235" s="82" t="s">
        <v>232</v>
      </c>
      <c r="B235">
        <v>6.12</v>
      </c>
      <c r="C235">
        <v>9</v>
      </c>
      <c r="D235">
        <f t="shared" si="4"/>
        <v>55.08</v>
      </c>
    </row>
    <row r="236" spans="1:4">
      <c r="A236" s="82" t="s">
        <v>232</v>
      </c>
      <c r="B236">
        <v>19.559999999999999</v>
      </c>
      <c r="C236">
        <v>1</v>
      </c>
      <c r="D236">
        <f t="shared" si="4"/>
        <v>19.559999999999999</v>
      </c>
    </row>
    <row r="237" spans="1:4">
      <c r="A237" s="82" t="s">
        <v>232</v>
      </c>
      <c r="B237">
        <v>17.600000000000001</v>
      </c>
      <c r="C237">
        <v>1</v>
      </c>
      <c r="D237">
        <f t="shared" si="4"/>
        <v>17.600000000000001</v>
      </c>
    </row>
    <row r="238" spans="1:4">
      <c r="A238" s="82" t="s">
        <v>232</v>
      </c>
      <c r="B238">
        <v>7.82</v>
      </c>
      <c r="C238">
        <v>1</v>
      </c>
      <c r="D238">
        <f t="shared" si="4"/>
        <v>7.82</v>
      </c>
    </row>
    <row r="239" spans="1:4">
      <c r="A239" s="82" t="s">
        <v>232</v>
      </c>
      <c r="B239">
        <v>7.82</v>
      </c>
      <c r="C239">
        <v>1</v>
      </c>
      <c r="D239">
        <f t="shared" si="4"/>
        <v>7.82</v>
      </c>
    </row>
    <row r="240" spans="1:4">
      <c r="A240" s="82" t="s">
        <v>232</v>
      </c>
      <c r="B240">
        <v>45.4</v>
      </c>
      <c r="C240">
        <v>1</v>
      </c>
      <c r="D240">
        <f t="shared" si="4"/>
        <v>45.4</v>
      </c>
    </row>
    <row r="241" spans="1:4">
      <c r="A241" s="82" t="s">
        <v>232</v>
      </c>
      <c r="B241">
        <v>7.82</v>
      </c>
      <c r="C241">
        <v>1</v>
      </c>
      <c r="D241">
        <f t="shared" si="4"/>
        <v>7.82</v>
      </c>
    </row>
    <row r="242" spans="1:4">
      <c r="A242" s="82" t="s">
        <v>232</v>
      </c>
      <c r="B242">
        <v>6.12</v>
      </c>
      <c r="C242">
        <v>2</v>
      </c>
      <c r="D242">
        <f t="shared" si="4"/>
        <v>12.24</v>
      </c>
    </row>
    <row r="243" spans="1:4">
      <c r="A243" s="82" t="s">
        <v>232</v>
      </c>
      <c r="B243">
        <v>6.12</v>
      </c>
      <c r="C243">
        <v>4</v>
      </c>
      <c r="D243">
        <f t="shared" si="4"/>
        <v>24.48</v>
      </c>
    </row>
    <row r="244" spans="1:4">
      <c r="A244" s="82" t="s">
        <v>232</v>
      </c>
      <c r="B244">
        <v>15.3</v>
      </c>
      <c r="C244">
        <v>1</v>
      </c>
      <c r="D244">
        <f t="shared" si="4"/>
        <v>15.3</v>
      </c>
    </row>
    <row r="245" spans="1:4">
      <c r="A245" s="82" t="s">
        <v>232</v>
      </c>
      <c r="B245">
        <v>8</v>
      </c>
      <c r="C245">
        <v>2</v>
      </c>
      <c r="D245">
        <f t="shared" si="4"/>
        <v>16</v>
      </c>
    </row>
    <row r="246" spans="1:4">
      <c r="A246" s="82" t="s">
        <v>232</v>
      </c>
      <c r="B246">
        <v>8.16</v>
      </c>
      <c r="C246">
        <v>1</v>
      </c>
      <c r="D246">
        <f t="shared" si="4"/>
        <v>8.16</v>
      </c>
    </row>
    <row r="247" spans="1:4">
      <c r="A247" s="82" t="s">
        <v>232</v>
      </c>
      <c r="B247">
        <v>15.3</v>
      </c>
      <c r="C247">
        <v>1</v>
      </c>
      <c r="D247">
        <f t="shared" si="4"/>
        <v>15.3</v>
      </c>
    </row>
    <row r="248" spans="1:4">
      <c r="A248" s="82" t="s">
        <v>232</v>
      </c>
      <c r="B248">
        <v>7.14</v>
      </c>
      <c r="C248">
        <v>2</v>
      </c>
      <c r="D248">
        <f t="shared" si="4"/>
        <v>14.28</v>
      </c>
    </row>
    <row r="249" spans="1:4">
      <c r="A249" s="82" t="s">
        <v>232</v>
      </c>
      <c r="B249">
        <v>8.16</v>
      </c>
      <c r="C249">
        <v>4</v>
      </c>
      <c r="D249">
        <f t="shared" si="4"/>
        <v>32.64</v>
      </c>
    </row>
    <row r="250" spans="1:4">
      <c r="A250" s="82" t="s">
        <v>232</v>
      </c>
      <c r="B250">
        <v>13.77</v>
      </c>
      <c r="C250">
        <v>2</v>
      </c>
      <c r="D250">
        <f t="shared" si="4"/>
        <v>27.54</v>
      </c>
    </row>
    <row r="251" spans="1:4">
      <c r="A251" s="82" t="s">
        <v>232</v>
      </c>
      <c r="B251">
        <v>8.16</v>
      </c>
      <c r="C251">
        <v>1</v>
      </c>
      <c r="D251">
        <f t="shared" si="4"/>
        <v>8.16</v>
      </c>
    </row>
    <row r="252" spans="1:4">
      <c r="A252" s="82" t="s">
        <v>232</v>
      </c>
      <c r="B252">
        <v>8.16</v>
      </c>
      <c r="C252">
        <v>2</v>
      </c>
      <c r="D252">
        <f t="shared" si="4"/>
        <v>16.32</v>
      </c>
    </row>
    <row r="253" spans="1:4">
      <c r="A253" s="82" t="s">
        <v>232</v>
      </c>
      <c r="B253">
        <v>6.12</v>
      </c>
      <c r="C253">
        <v>3</v>
      </c>
      <c r="D253">
        <f t="shared" si="4"/>
        <v>18.36</v>
      </c>
    </row>
    <row r="254" spans="1:4">
      <c r="A254" s="82" t="s">
        <v>232</v>
      </c>
      <c r="B254">
        <v>9</v>
      </c>
      <c r="C254">
        <v>6</v>
      </c>
      <c r="D254">
        <f t="shared" si="4"/>
        <v>54</v>
      </c>
    </row>
    <row r="255" spans="1:4">
      <c r="A255" s="82" t="s">
        <v>232</v>
      </c>
      <c r="B255">
        <v>8.43</v>
      </c>
      <c r="C255">
        <v>1</v>
      </c>
      <c r="D255">
        <f t="shared" si="4"/>
        <v>8.43</v>
      </c>
    </row>
    <row r="256" spans="1:4">
      <c r="A256" s="82" t="s">
        <v>232</v>
      </c>
      <c r="B256">
        <v>15.17</v>
      </c>
      <c r="C256">
        <v>3</v>
      </c>
      <c r="D256">
        <f t="shared" si="4"/>
        <v>45.51</v>
      </c>
    </row>
    <row r="257" spans="1:4">
      <c r="A257" s="82" t="s">
        <v>232</v>
      </c>
      <c r="B257">
        <v>15.3</v>
      </c>
      <c r="C257">
        <v>2</v>
      </c>
      <c r="D257">
        <f t="shared" si="4"/>
        <v>30.6</v>
      </c>
    </row>
    <row r="258" spans="1:4">
      <c r="A258" s="82" t="s">
        <v>232</v>
      </c>
      <c r="B258">
        <v>13.77</v>
      </c>
      <c r="C258">
        <v>1</v>
      </c>
      <c r="D258">
        <f t="shared" si="4"/>
        <v>13.77</v>
      </c>
    </row>
    <row r="259" spans="1:4">
      <c r="A259" s="82" t="s">
        <v>232</v>
      </c>
      <c r="B259">
        <v>9</v>
      </c>
      <c r="C259">
        <v>2</v>
      </c>
      <c r="D259">
        <f t="shared" si="4"/>
        <v>18</v>
      </c>
    </row>
    <row r="260" spans="1:4">
      <c r="A260" s="82" t="s">
        <v>232</v>
      </c>
      <c r="B260">
        <v>69</v>
      </c>
      <c r="C260">
        <v>1</v>
      </c>
      <c r="D260">
        <f t="shared" si="4"/>
        <v>69</v>
      </c>
    </row>
    <row r="261" spans="1:4">
      <c r="A261" s="82" t="s">
        <v>232</v>
      </c>
      <c r="B261">
        <v>11.76</v>
      </c>
      <c r="C261">
        <v>1</v>
      </c>
      <c r="D261">
        <f t="shared" si="4"/>
        <v>11.76</v>
      </c>
    </row>
    <row r="262" spans="1:4">
      <c r="A262" s="82" t="s">
        <v>232</v>
      </c>
      <c r="B262">
        <v>11.76</v>
      </c>
      <c r="C262">
        <v>1</v>
      </c>
      <c r="D262">
        <f t="shared" si="4"/>
        <v>11.76</v>
      </c>
    </row>
    <row r="263" spans="1:4">
      <c r="A263" s="82" t="s">
        <v>232</v>
      </c>
      <c r="B263">
        <v>14.28</v>
      </c>
      <c r="C263">
        <v>1</v>
      </c>
      <c r="D263">
        <f t="shared" si="4"/>
        <v>14.28</v>
      </c>
    </row>
    <row r="264" spans="1:4">
      <c r="A264" s="82" t="s">
        <v>232</v>
      </c>
      <c r="B264">
        <v>9</v>
      </c>
      <c r="C264">
        <v>3</v>
      </c>
      <c r="D264">
        <f t="shared" si="4"/>
        <v>27</v>
      </c>
    </row>
    <row r="265" spans="1:4">
      <c r="A265" s="82" t="s">
        <v>232</v>
      </c>
      <c r="B265">
        <v>5.61</v>
      </c>
      <c r="C265">
        <v>2</v>
      </c>
      <c r="D265">
        <f t="shared" si="4"/>
        <v>11.22</v>
      </c>
    </row>
    <row r="266" spans="1:4">
      <c r="A266" s="82" t="s">
        <v>232</v>
      </c>
      <c r="B266">
        <v>16.86</v>
      </c>
      <c r="C266">
        <v>3</v>
      </c>
      <c r="D266">
        <f t="shared" si="4"/>
        <v>50.58</v>
      </c>
    </row>
    <row r="267" spans="1:4">
      <c r="A267" s="82" t="s">
        <v>232</v>
      </c>
      <c r="B267">
        <v>10.199999999999999</v>
      </c>
      <c r="C267">
        <v>2</v>
      </c>
      <c r="D267">
        <f t="shared" si="4"/>
        <v>20.399999999999999</v>
      </c>
    </row>
    <row r="268" spans="1:4">
      <c r="A268" s="82" t="s">
        <v>232</v>
      </c>
      <c r="B268">
        <v>5.78</v>
      </c>
      <c r="C268">
        <v>1</v>
      </c>
      <c r="D268">
        <f t="shared" si="4"/>
        <v>5.78</v>
      </c>
    </row>
    <row r="269" spans="1:4">
      <c r="A269" s="82" t="s">
        <v>232</v>
      </c>
      <c r="B269">
        <v>6.75</v>
      </c>
      <c r="C269">
        <v>2</v>
      </c>
      <c r="D269">
        <f t="shared" si="4"/>
        <v>13.5</v>
      </c>
    </row>
    <row r="270" spans="1:4">
      <c r="A270" s="82" t="s">
        <v>232</v>
      </c>
      <c r="B270">
        <v>35.4</v>
      </c>
      <c r="C270">
        <v>1</v>
      </c>
      <c r="D270">
        <f t="shared" si="4"/>
        <v>35.4</v>
      </c>
    </row>
    <row r="271" spans="1:4">
      <c r="A271" s="82" t="s">
        <v>232</v>
      </c>
      <c r="B271">
        <v>58.3</v>
      </c>
      <c r="C271">
        <v>1</v>
      </c>
      <c r="D271">
        <f t="shared" si="4"/>
        <v>58.3</v>
      </c>
    </row>
    <row r="272" spans="1:4">
      <c r="A272" s="82" t="s">
        <v>232</v>
      </c>
      <c r="B272">
        <v>11.76</v>
      </c>
      <c r="C272">
        <v>1</v>
      </c>
      <c r="D272">
        <f t="shared" si="4"/>
        <v>11.76</v>
      </c>
    </row>
    <row r="273" spans="1:4">
      <c r="A273" s="82" t="s">
        <v>232</v>
      </c>
      <c r="B273">
        <v>15.13</v>
      </c>
      <c r="C273">
        <v>1</v>
      </c>
      <c r="D273">
        <f t="shared" si="4"/>
        <v>15.13</v>
      </c>
    </row>
    <row r="274" spans="1:4">
      <c r="A274" s="82" t="s">
        <v>232</v>
      </c>
      <c r="B274">
        <v>78.430000000000007</v>
      </c>
      <c r="C274">
        <v>1</v>
      </c>
      <c r="D274">
        <f t="shared" ref="D274:D310" si="5">B274*C274</f>
        <v>78.430000000000007</v>
      </c>
    </row>
    <row r="275" spans="1:4">
      <c r="A275" s="82" t="s">
        <v>232</v>
      </c>
      <c r="B275">
        <v>24.68</v>
      </c>
      <c r="C275">
        <v>1</v>
      </c>
      <c r="D275">
        <f t="shared" si="5"/>
        <v>24.68</v>
      </c>
    </row>
    <row r="276" spans="1:4">
      <c r="A276" s="82" t="s">
        <v>232</v>
      </c>
      <c r="B276">
        <v>10.4</v>
      </c>
      <c r="C276">
        <v>1</v>
      </c>
      <c r="D276">
        <f t="shared" si="5"/>
        <v>10.4</v>
      </c>
    </row>
    <row r="277" spans="1:4">
      <c r="A277" s="82" t="s">
        <v>232</v>
      </c>
      <c r="B277">
        <v>12.06</v>
      </c>
      <c r="C277">
        <v>1</v>
      </c>
      <c r="D277">
        <f t="shared" si="5"/>
        <v>12.06</v>
      </c>
    </row>
    <row r="278" spans="1:4">
      <c r="A278" s="82" t="s">
        <v>232</v>
      </c>
      <c r="B278">
        <v>7.34</v>
      </c>
      <c r="C278">
        <v>3</v>
      </c>
      <c r="D278">
        <f t="shared" si="5"/>
        <v>22.02</v>
      </c>
    </row>
    <row r="279" spans="1:4">
      <c r="A279" s="82" t="s">
        <v>232</v>
      </c>
      <c r="B279">
        <v>7.34</v>
      </c>
      <c r="C279">
        <v>2</v>
      </c>
      <c r="D279">
        <f t="shared" si="5"/>
        <v>14.68</v>
      </c>
    </row>
    <row r="280" spans="1:4">
      <c r="A280" s="82" t="s">
        <v>232</v>
      </c>
      <c r="B280">
        <v>7.34</v>
      </c>
      <c r="C280">
        <v>4</v>
      </c>
      <c r="D280">
        <f t="shared" si="5"/>
        <v>29.36</v>
      </c>
    </row>
    <row r="281" spans="1:4">
      <c r="A281" s="82" t="s">
        <v>232</v>
      </c>
      <c r="B281">
        <v>7.34</v>
      </c>
      <c r="C281">
        <v>2</v>
      </c>
      <c r="D281">
        <f t="shared" si="5"/>
        <v>14.68</v>
      </c>
    </row>
    <row r="282" spans="1:4">
      <c r="A282" s="82" t="s">
        <v>232</v>
      </c>
      <c r="B282">
        <v>7.6</v>
      </c>
      <c r="C282">
        <v>4</v>
      </c>
      <c r="D282">
        <f t="shared" si="5"/>
        <v>30.4</v>
      </c>
    </row>
    <row r="283" spans="1:4">
      <c r="A283" s="82" t="s">
        <v>232</v>
      </c>
      <c r="B283">
        <v>7.6</v>
      </c>
      <c r="C283">
        <v>4</v>
      </c>
      <c r="D283">
        <f t="shared" si="5"/>
        <v>30.4</v>
      </c>
    </row>
    <row r="284" spans="1:4">
      <c r="A284" s="82" t="s">
        <v>232</v>
      </c>
      <c r="B284">
        <v>8.1300000000000008</v>
      </c>
      <c r="C284">
        <v>6</v>
      </c>
      <c r="D284">
        <f t="shared" si="5"/>
        <v>48.78</v>
      </c>
    </row>
    <row r="285" spans="1:4">
      <c r="A285" s="82" t="s">
        <v>232</v>
      </c>
      <c r="B285">
        <v>8.1300000000000008</v>
      </c>
      <c r="C285">
        <v>3</v>
      </c>
      <c r="D285">
        <f t="shared" si="5"/>
        <v>24.39</v>
      </c>
    </row>
    <row r="286" spans="1:4">
      <c r="A286" s="82" t="s">
        <v>232</v>
      </c>
      <c r="B286">
        <v>5.36</v>
      </c>
      <c r="C286">
        <v>2</v>
      </c>
      <c r="D286">
        <f t="shared" si="5"/>
        <v>10.72</v>
      </c>
    </row>
    <row r="287" spans="1:4">
      <c r="A287" s="82" t="s">
        <v>232</v>
      </c>
      <c r="B287">
        <v>9.44</v>
      </c>
      <c r="C287">
        <v>3</v>
      </c>
      <c r="D287">
        <f t="shared" si="5"/>
        <v>28.32</v>
      </c>
    </row>
    <row r="288" spans="1:4">
      <c r="A288" s="82" t="s">
        <v>232</v>
      </c>
      <c r="B288">
        <v>11.35</v>
      </c>
      <c r="C288">
        <v>2</v>
      </c>
      <c r="D288">
        <f t="shared" si="5"/>
        <v>22.7</v>
      </c>
    </row>
    <row r="289" spans="1:4">
      <c r="A289" s="82" t="s">
        <v>232</v>
      </c>
      <c r="B289">
        <v>11.35</v>
      </c>
      <c r="C289">
        <v>1</v>
      </c>
      <c r="D289">
        <f t="shared" si="5"/>
        <v>11.35</v>
      </c>
    </row>
    <row r="290" spans="1:4">
      <c r="A290" s="82" t="s">
        <v>232</v>
      </c>
      <c r="B290">
        <v>9.3800000000000008</v>
      </c>
      <c r="C290">
        <v>2</v>
      </c>
      <c r="D290">
        <f t="shared" si="5"/>
        <v>18.760000000000002</v>
      </c>
    </row>
    <row r="291" spans="1:4">
      <c r="A291" s="82" t="s">
        <v>232</v>
      </c>
      <c r="B291">
        <v>18.440000000000001</v>
      </c>
      <c r="C291">
        <v>1</v>
      </c>
      <c r="D291">
        <f t="shared" si="5"/>
        <v>18.440000000000001</v>
      </c>
    </row>
    <row r="292" spans="1:4">
      <c r="A292" s="82" t="s">
        <v>232</v>
      </c>
      <c r="B292">
        <v>18.440000000000001</v>
      </c>
      <c r="C292">
        <v>1</v>
      </c>
      <c r="D292">
        <f t="shared" si="5"/>
        <v>18.440000000000001</v>
      </c>
    </row>
    <row r="293" spans="1:4">
      <c r="A293" s="82" t="s">
        <v>232</v>
      </c>
      <c r="B293">
        <v>1.89</v>
      </c>
      <c r="C293">
        <v>1</v>
      </c>
      <c r="D293">
        <f t="shared" si="5"/>
        <v>1.89</v>
      </c>
    </row>
    <row r="294" spans="1:4">
      <c r="A294" s="82" t="s">
        <v>232</v>
      </c>
      <c r="B294">
        <v>10.18</v>
      </c>
      <c r="C294">
        <v>3</v>
      </c>
      <c r="D294">
        <f t="shared" si="5"/>
        <v>30.54</v>
      </c>
    </row>
    <row r="295" spans="1:4">
      <c r="A295" s="82" t="s">
        <v>232</v>
      </c>
      <c r="B295">
        <v>18.440000000000001</v>
      </c>
      <c r="C295">
        <v>1</v>
      </c>
      <c r="D295">
        <f t="shared" si="5"/>
        <v>18.440000000000001</v>
      </c>
    </row>
    <row r="296" spans="1:4">
      <c r="A296" s="82" t="s">
        <v>232</v>
      </c>
      <c r="B296">
        <v>18.440000000000001</v>
      </c>
      <c r="C296">
        <v>1</v>
      </c>
      <c r="D296">
        <f t="shared" si="5"/>
        <v>18.440000000000001</v>
      </c>
    </row>
    <row r="297" spans="1:4">
      <c r="A297" s="82" t="s">
        <v>232</v>
      </c>
      <c r="B297">
        <v>10.81</v>
      </c>
      <c r="C297">
        <v>1</v>
      </c>
      <c r="D297">
        <f t="shared" si="5"/>
        <v>10.81</v>
      </c>
    </row>
    <row r="298" spans="1:4">
      <c r="A298" s="82" t="s">
        <v>232</v>
      </c>
      <c r="B298">
        <v>10.81</v>
      </c>
      <c r="C298">
        <v>1</v>
      </c>
      <c r="D298">
        <f t="shared" si="5"/>
        <v>10.81</v>
      </c>
    </row>
    <row r="299" spans="1:4">
      <c r="A299" s="82" t="s">
        <v>232</v>
      </c>
      <c r="B299">
        <v>10</v>
      </c>
      <c r="C299">
        <v>1</v>
      </c>
      <c r="D299">
        <f t="shared" si="5"/>
        <v>10</v>
      </c>
    </row>
    <row r="300" spans="1:4">
      <c r="A300" s="82" t="s">
        <v>232</v>
      </c>
      <c r="B300">
        <v>19.3</v>
      </c>
      <c r="C300">
        <v>1</v>
      </c>
      <c r="D300">
        <f t="shared" si="5"/>
        <v>19.3</v>
      </c>
    </row>
    <row r="301" spans="1:4">
      <c r="A301" s="82" t="s">
        <v>232</v>
      </c>
      <c r="B301">
        <v>20.32</v>
      </c>
      <c r="C301">
        <v>4</v>
      </c>
      <c r="D301">
        <f t="shared" si="5"/>
        <v>81.28</v>
      </c>
    </row>
    <row r="302" spans="1:4">
      <c r="A302" s="82" t="s">
        <v>232</v>
      </c>
      <c r="B302">
        <v>18.899999999999999</v>
      </c>
      <c r="C302">
        <v>2</v>
      </c>
      <c r="D302">
        <f t="shared" si="5"/>
        <v>37.799999999999997</v>
      </c>
    </row>
    <row r="303" spans="1:4">
      <c r="A303" s="82" t="s">
        <v>232</v>
      </c>
      <c r="B303">
        <v>18.739999999999998</v>
      </c>
      <c r="C303">
        <v>2</v>
      </c>
      <c r="D303">
        <f t="shared" si="5"/>
        <v>37.479999999999997</v>
      </c>
    </row>
    <row r="304" spans="1:4">
      <c r="A304" s="82" t="s">
        <v>232</v>
      </c>
      <c r="B304">
        <v>10</v>
      </c>
      <c r="C304">
        <v>2</v>
      </c>
      <c r="D304">
        <f t="shared" si="5"/>
        <v>20</v>
      </c>
    </row>
    <row r="305" spans="1:5">
      <c r="A305" s="82" t="s">
        <v>232</v>
      </c>
      <c r="B305">
        <v>7.75</v>
      </c>
      <c r="C305">
        <v>4</v>
      </c>
      <c r="D305">
        <f t="shared" si="5"/>
        <v>31</v>
      </c>
    </row>
    <row r="306" spans="1:5">
      <c r="A306" s="82" t="s">
        <v>232</v>
      </c>
      <c r="B306">
        <v>20.32</v>
      </c>
      <c r="C306">
        <v>3</v>
      </c>
      <c r="D306">
        <f t="shared" si="5"/>
        <v>60.96</v>
      </c>
    </row>
    <row r="307" spans="1:5">
      <c r="A307" s="82" t="s">
        <v>232</v>
      </c>
      <c r="B307">
        <v>11</v>
      </c>
      <c r="C307">
        <v>4</v>
      </c>
      <c r="D307">
        <f t="shared" si="5"/>
        <v>44</v>
      </c>
    </row>
    <row r="308" spans="1:5">
      <c r="A308" s="82" t="s">
        <v>232</v>
      </c>
      <c r="B308">
        <v>12.06</v>
      </c>
      <c r="C308">
        <v>1</v>
      </c>
      <c r="D308">
        <f t="shared" si="5"/>
        <v>12.06</v>
      </c>
    </row>
    <row r="309" spans="1:5">
      <c r="A309" s="82" t="s">
        <v>232</v>
      </c>
      <c r="B309">
        <v>2.61</v>
      </c>
      <c r="C309">
        <v>2</v>
      </c>
      <c r="D309">
        <f t="shared" si="5"/>
        <v>5.22</v>
      </c>
    </row>
    <row r="310" spans="1:5">
      <c r="A310" s="82" t="s">
        <v>232</v>
      </c>
      <c r="B310">
        <v>5.94</v>
      </c>
      <c r="C310">
        <v>1</v>
      </c>
      <c r="D310">
        <f t="shared" si="5"/>
        <v>5.94</v>
      </c>
    </row>
    <row r="311" spans="1:5">
      <c r="A311" s="82" t="s">
        <v>232</v>
      </c>
      <c r="D311" s="72">
        <f>SUM(D114:D310)</f>
        <v>5750.0400000000027</v>
      </c>
    </row>
    <row r="312" spans="1:5">
      <c r="A312" s="82"/>
      <c r="D312" s="72"/>
    </row>
    <row r="313" spans="1:5">
      <c r="A313" s="72" t="s">
        <v>241</v>
      </c>
      <c r="B313" s="72"/>
      <c r="C313" s="72"/>
      <c r="D313" s="72">
        <v>29.25</v>
      </c>
    </row>
    <row r="314" spans="1:5">
      <c r="A314" s="72"/>
      <c r="B314" s="72"/>
      <c r="C314" s="72"/>
      <c r="D314" s="72"/>
    </row>
    <row r="315" spans="1:5">
      <c r="A315" s="72" t="s">
        <v>233</v>
      </c>
      <c r="B315" s="72"/>
      <c r="C315" s="72"/>
      <c r="D315" s="72">
        <f>D44+D113+D311+D313</f>
        <v>9985.5400000000045</v>
      </c>
    </row>
    <row r="318" spans="1:5">
      <c r="A318" s="82" t="s">
        <v>234</v>
      </c>
      <c r="D318">
        <f>E318*0.95</f>
        <v>3672.51</v>
      </c>
      <c r="E318">
        <v>3865.8</v>
      </c>
    </row>
    <row r="319" spans="1:5">
      <c r="A319" s="82" t="s">
        <v>235</v>
      </c>
      <c r="D319">
        <f t="shared" ref="D319:D323" si="6">E319*0.95</f>
        <v>4111.5904999999993</v>
      </c>
      <c r="E319">
        <v>4327.99</v>
      </c>
    </row>
    <row r="320" spans="1:5">
      <c r="A320" s="82" t="s">
        <v>236</v>
      </c>
      <c r="D320">
        <f t="shared" si="6"/>
        <v>3476.81</v>
      </c>
      <c r="E320">
        <v>3659.8</v>
      </c>
    </row>
    <row r="321" spans="1:5">
      <c r="A321" s="82" t="s">
        <v>237</v>
      </c>
      <c r="D321">
        <f t="shared" si="6"/>
        <v>2584.2849999999999</v>
      </c>
      <c r="E321">
        <v>2720.3</v>
      </c>
    </row>
    <row r="322" spans="1:5">
      <c r="A322" s="82" t="s">
        <v>238</v>
      </c>
      <c r="D322">
        <f t="shared" si="6"/>
        <v>1175.8150000000001</v>
      </c>
      <c r="E322">
        <v>1237.7</v>
      </c>
    </row>
    <row r="323" spans="1:5">
      <c r="A323" s="82" t="s">
        <v>239</v>
      </c>
      <c r="D323">
        <f t="shared" si="6"/>
        <v>1013.4599999999999</v>
      </c>
      <c r="E323">
        <v>1066.8</v>
      </c>
    </row>
    <row r="324" spans="1:5">
      <c r="A324" s="72" t="s">
        <v>240</v>
      </c>
      <c r="B324" s="72"/>
      <c r="C324" s="72"/>
      <c r="D324" s="72">
        <f>D318+D319+D320+D321+D322+D323</f>
        <v>16034.470499999999</v>
      </c>
    </row>
    <row r="325" spans="1:5">
      <c r="A325" s="82"/>
    </row>
    <row r="326" spans="1:5">
      <c r="A326" s="72" t="s">
        <v>242</v>
      </c>
      <c r="D326" s="72">
        <f>D324-D315</f>
        <v>6048.9304999999949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Коом.пред.</vt:lpstr>
      <vt:lpstr>Себестоимость (в худшем)</vt:lpstr>
      <vt:lpstr>Себестоимость (в лудшем)</vt:lpstr>
      <vt:lpstr>На тендер</vt:lpstr>
      <vt:lpstr>Объёмы</vt:lpstr>
      <vt:lpstr>Коом.пред.!Заголовки_для_печати</vt:lpstr>
      <vt:lpstr>'На тендер'!Заголовки_для_печати</vt:lpstr>
      <vt:lpstr>'Себестоимость (в лудшем)'!Заголовки_для_печати</vt:lpstr>
      <vt:lpstr>'Себестоимость (в худшем)'!Заголовки_для_печати</vt:lpstr>
      <vt:lpstr>Коом.пред.!Область_печати</vt:lpstr>
      <vt:lpstr>'На тендер'!Область_печати</vt:lpstr>
      <vt:lpstr>'Себестоимость (в лудшем)'!Область_печати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Бурдин Роман Викторович</dc:creator>
  <cp:lastModifiedBy>Пользователь</cp:lastModifiedBy>
  <cp:lastPrinted>2016-04-06T11:27:40Z</cp:lastPrinted>
  <dcterms:created xsi:type="dcterms:W3CDTF">2013-05-20T12:26:05Z</dcterms:created>
  <dcterms:modified xsi:type="dcterms:W3CDTF">2016-05-26T03:03:33Z</dcterms:modified>
</cp:coreProperties>
</file>